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e Klein\Downloads\"/>
    </mc:Choice>
  </mc:AlternateContent>
  <xr:revisionPtr revIDLastSave="0" documentId="13_ncr:1_{551D35B4-9D55-47B8-865F-72937DD74E94}" xr6:coauthVersionLast="46" xr6:coauthVersionMax="46" xr10:uidLastSave="{00000000-0000-0000-0000-000000000000}"/>
  <bookViews>
    <workbookView xWindow="-28920" yWindow="-120" windowWidth="29040" windowHeight="15840" tabRatio="748" xr2:uid="{7DDEB1A9-CE41-4659-94D7-97E248BBFE41}"/>
  </bookViews>
  <sheets>
    <sheet name="Ctrl" sheetId="10" r:id="rId1"/>
    <sheet name="Summary" sheetId="22" r:id="rId2"/>
    <sheet name="Valuation" sheetId="21" r:id="rId3"/>
    <sheet name="Financials" sheetId="1" r:id="rId4"/>
    <sheet name="Debt" sheetId="3" r:id="rId5"/>
    <sheet name="Segments" sheetId="9" r:id="rId6"/>
    <sheet name="Segments USD" sheetId="20" r:id="rId7"/>
    <sheet name="North" sheetId="13" r:id="rId8"/>
    <sheet name="South" sheetId="14" r:id="rId9"/>
    <sheet name="Costal Nav" sheetId="15" r:id="rId10"/>
    <sheet name="Santos" sheetId="16" r:id="rId11"/>
    <sheet name="Growth" sheetId="26" r:id="rId12"/>
    <sheet name="Drivers" sheetId="8" r:id="rId13"/>
    <sheet name="Contract CF" sheetId="12" r:id="rId14"/>
    <sheet name="Macro" sheetId="18" r:id="rId15"/>
    <sheet name="Financing" sheetId="4" r:id="rId16"/>
    <sheet name="FX" sheetId="5" r:id="rId17"/>
    <sheet name="Stock" sheetId="24" r:id="rId18"/>
    <sheet name="Cost" sheetId="25" r:id="rId19"/>
  </sheets>
  <definedNames>
    <definedName name="Circ">Ctrl!$G$3</definedName>
    <definedName name="inflation">Ctrl!$G$63</definedName>
    <definedName name="SaltG">'Contract CF'!$D$15</definedName>
    <definedName name="SharePrice">Ctrl!$G$16</definedName>
    <definedName name="TaxRate">Ctrl!$G$24</definedName>
  </definedNames>
  <calcPr calcId="191029" calcMode="autoNoTable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8" i="13" l="1"/>
  <c r="I50" i="13"/>
  <c r="J50" i="13"/>
  <c r="K50" i="13"/>
  <c r="L50" i="13"/>
  <c r="M50" i="13"/>
  <c r="N50" i="13"/>
  <c r="I51" i="13"/>
  <c r="J51" i="13"/>
  <c r="K51" i="13"/>
  <c r="L51" i="13"/>
  <c r="M51" i="13"/>
  <c r="N51" i="13"/>
  <c r="N49" i="13"/>
  <c r="M49" i="13"/>
  <c r="L49" i="13"/>
  <c r="K49" i="13"/>
  <c r="J49" i="13"/>
  <c r="I49" i="13"/>
  <c r="N103" i="20"/>
  <c r="M103" i="20"/>
  <c r="L103" i="20"/>
  <c r="K103" i="20"/>
  <c r="J103" i="20"/>
  <c r="I103" i="20"/>
  <c r="M102" i="20"/>
  <c r="I102" i="20"/>
  <c r="N101" i="20"/>
  <c r="N102" i="20" s="1"/>
  <c r="M101" i="20"/>
  <c r="L101" i="20"/>
  <c r="K101" i="20"/>
  <c r="K102" i="20" s="1"/>
  <c r="J101" i="20"/>
  <c r="J102" i="20" s="1"/>
  <c r="I101" i="20"/>
  <c r="N100" i="20"/>
  <c r="M100" i="20"/>
  <c r="L100" i="20"/>
  <c r="K100" i="20"/>
  <c r="J100" i="20"/>
  <c r="I100" i="20"/>
  <c r="N99" i="20"/>
  <c r="M99" i="20"/>
  <c r="L99" i="20"/>
  <c r="K99" i="20"/>
  <c r="J99" i="20"/>
  <c r="I99" i="20"/>
  <c r="N98" i="20"/>
  <c r="M98" i="20"/>
  <c r="L98" i="20"/>
  <c r="K98" i="20"/>
  <c r="J98" i="20"/>
  <c r="I98" i="20"/>
  <c r="N97" i="20"/>
  <c r="M97" i="20"/>
  <c r="L97" i="20"/>
  <c r="K97" i="20"/>
  <c r="J97" i="20"/>
  <c r="I97" i="20"/>
  <c r="N96" i="20"/>
  <c r="M96" i="20"/>
  <c r="L96" i="20"/>
  <c r="K96" i="20"/>
  <c r="J96" i="20"/>
  <c r="I96" i="20"/>
  <c r="N95" i="20"/>
  <c r="M95" i="20"/>
  <c r="L95" i="20"/>
  <c r="L102" i="20" s="1"/>
  <c r="K95" i="20"/>
  <c r="J95" i="20"/>
  <c r="I95" i="20"/>
  <c r="N116" i="20"/>
  <c r="M116" i="20"/>
  <c r="L116" i="20"/>
  <c r="K116" i="20"/>
  <c r="J116" i="20"/>
  <c r="I116" i="20"/>
  <c r="N114" i="20"/>
  <c r="M114" i="20"/>
  <c r="L114" i="20"/>
  <c r="K114" i="20"/>
  <c r="J114" i="20"/>
  <c r="I114" i="20"/>
  <c r="N113" i="20"/>
  <c r="M113" i="20"/>
  <c r="L113" i="20"/>
  <c r="K113" i="20"/>
  <c r="J113" i="20"/>
  <c r="I113" i="20"/>
  <c r="N112" i="20"/>
  <c r="M112" i="20"/>
  <c r="L112" i="20"/>
  <c r="K112" i="20"/>
  <c r="J112" i="20"/>
  <c r="I112" i="20"/>
  <c r="N111" i="20"/>
  <c r="M111" i="20"/>
  <c r="L111" i="20"/>
  <c r="K111" i="20"/>
  <c r="J111" i="20"/>
  <c r="I111" i="20"/>
  <c r="N110" i="20"/>
  <c r="M110" i="20"/>
  <c r="L110" i="20"/>
  <c r="K110" i="20"/>
  <c r="J110" i="20"/>
  <c r="I110" i="20"/>
  <c r="N109" i="20"/>
  <c r="M109" i="20"/>
  <c r="L109" i="20"/>
  <c r="K109" i="20"/>
  <c r="J109" i="20"/>
  <c r="I109" i="20"/>
  <c r="N108" i="20"/>
  <c r="M108" i="20"/>
  <c r="M115" i="20" s="1"/>
  <c r="L108" i="20"/>
  <c r="K108" i="20"/>
  <c r="J108" i="20"/>
  <c r="I108" i="20"/>
  <c r="I115" i="20" s="1"/>
  <c r="U30" i="20"/>
  <c r="T30" i="20"/>
  <c r="S30" i="20"/>
  <c r="U29" i="20"/>
  <c r="T29" i="20"/>
  <c r="S29" i="20"/>
  <c r="R30" i="20"/>
  <c r="R29" i="20"/>
  <c r="U28" i="20"/>
  <c r="T28" i="20"/>
  <c r="S28" i="20"/>
  <c r="R28" i="20"/>
  <c r="G86" i="10"/>
  <c r="D30" i="4" s="1"/>
  <c r="AV166" i="1"/>
  <c r="AN166" i="1"/>
  <c r="Z166" i="1"/>
  <c r="Z167" i="1" s="1"/>
  <c r="X166" i="1"/>
  <c r="X167" i="1" s="1"/>
  <c r="D166" i="1"/>
  <c r="L166" i="1" s="1"/>
  <c r="G89" i="10"/>
  <c r="D33" i="4" s="1"/>
  <c r="G88" i="10"/>
  <c r="D31" i="4" s="1"/>
  <c r="G87" i="10"/>
  <c r="D32" i="4" s="1"/>
  <c r="G85" i="10"/>
  <c r="D29" i="4" s="1"/>
  <c r="G82" i="10"/>
  <c r="G81" i="10"/>
  <c r="G78" i="10"/>
  <c r="N197" i="1" s="1"/>
  <c r="G77" i="10"/>
  <c r="M197" i="1" s="1"/>
  <c r="G76" i="10"/>
  <c r="L197" i="1" s="1"/>
  <c r="G75" i="10"/>
  <c r="G74" i="10"/>
  <c r="G73" i="10"/>
  <c r="G70" i="10"/>
  <c r="D47" i="1" s="1"/>
  <c r="G69" i="10"/>
  <c r="G68" i="10"/>
  <c r="G65" i="10"/>
  <c r="G64" i="10"/>
  <c r="G63" i="10"/>
  <c r="G60" i="10"/>
  <c r="G59" i="10"/>
  <c r="G56" i="10"/>
  <c r="D117" i="20" s="1"/>
  <c r="G53" i="10"/>
  <c r="G52" i="10"/>
  <c r="G51" i="10"/>
  <c r="G50" i="10"/>
  <c r="G49" i="10"/>
  <c r="G48" i="10"/>
  <c r="G45" i="10"/>
  <c r="G44" i="10"/>
  <c r="G41" i="10"/>
  <c r="D36" i="8" s="1"/>
  <c r="G40" i="10"/>
  <c r="G39" i="10"/>
  <c r="G38" i="10"/>
  <c r="G37" i="10"/>
  <c r="G34" i="10"/>
  <c r="G33" i="10"/>
  <c r="G32" i="10"/>
  <c r="G31" i="10"/>
  <c r="G30" i="10"/>
  <c r="G29" i="10"/>
  <c r="G28" i="10"/>
  <c r="G27" i="10"/>
  <c r="G24" i="10"/>
  <c r="D22" i="1" s="1"/>
  <c r="G23" i="10"/>
  <c r="G22" i="10"/>
  <c r="D87" i="21" s="1"/>
  <c r="G21" i="10"/>
  <c r="D28" i="21" s="1"/>
  <c r="G20" i="10"/>
  <c r="D54" i="21" s="1"/>
  <c r="G19" i="10"/>
  <c r="G18" i="10"/>
  <c r="D15" i="21" s="1"/>
  <c r="G17" i="10"/>
  <c r="D14" i="21" s="1"/>
  <c r="G16" i="10"/>
  <c r="G15" i="10"/>
  <c r="J115" i="20" l="1"/>
  <c r="N115" i="20"/>
  <c r="K115" i="20"/>
  <c r="L115" i="20"/>
  <c r="U27" i="20"/>
  <c r="S27" i="20"/>
  <c r="T27" i="20"/>
  <c r="R27" i="20"/>
  <c r="AF166" i="1"/>
  <c r="AZ166" i="1"/>
  <c r="V166" i="1"/>
  <c r="V167" i="1" s="1"/>
  <c r="AJ166" i="1"/>
  <c r="I166" i="1"/>
  <c r="AB166" i="1"/>
  <c r="AB167" i="1" s="1"/>
  <c r="AR166" i="1"/>
  <c r="M166" i="1"/>
  <c r="Y166" i="1"/>
  <c r="Y167" i="1" s="1"/>
  <c r="AC166" i="1"/>
  <c r="AC167" i="1" s="1"/>
  <c r="AG166" i="1"/>
  <c r="AK166" i="1"/>
  <c r="AO166" i="1"/>
  <c r="AS166" i="1"/>
  <c r="AW166" i="1"/>
  <c r="BA166" i="1"/>
  <c r="J166" i="1"/>
  <c r="N166" i="1"/>
  <c r="AD166" i="1"/>
  <c r="AH166" i="1"/>
  <c r="AL166" i="1"/>
  <c r="AP166" i="1"/>
  <c r="AT166" i="1"/>
  <c r="AX166" i="1"/>
  <c r="G166" i="1"/>
  <c r="G167" i="1" s="1"/>
  <c r="K166" i="1"/>
  <c r="W166" i="1"/>
  <c r="W167" i="1" s="1"/>
  <c r="AA166" i="1"/>
  <c r="AA167" i="1" s="1"/>
  <c r="AE166" i="1"/>
  <c r="AI166" i="1"/>
  <c r="AM166" i="1"/>
  <c r="AQ166" i="1"/>
  <c r="AU166" i="1"/>
  <c r="AY166" i="1"/>
  <c r="H166" i="1"/>
  <c r="H167" i="1" s="1"/>
  <c r="D108" i="14"/>
  <c r="H23" i="18"/>
  <c r="G23" i="18"/>
  <c r="AL81" i="13"/>
  <c r="AL78" i="13" s="1"/>
  <c r="W81" i="13"/>
  <c r="W78" i="13" s="1"/>
  <c r="V81" i="13"/>
  <c r="H196" i="1"/>
  <c r="G196" i="1"/>
  <c r="N14" i="10"/>
  <c r="U26" i="9"/>
  <c r="T26" i="9"/>
  <c r="S26" i="9"/>
  <c r="F26" i="9" s="1"/>
  <c r="F31" i="9" s="1"/>
  <c r="U25" i="9"/>
  <c r="T25" i="9"/>
  <c r="S25" i="9"/>
  <c r="U24" i="9"/>
  <c r="T24" i="9"/>
  <c r="S24" i="9"/>
  <c r="R26" i="9"/>
  <c r="R25" i="9"/>
  <c r="R24" i="9"/>
  <c r="AC135" i="9"/>
  <c r="AC138" i="9" s="1"/>
  <c r="AC139" i="9" s="1"/>
  <c r="AB135" i="9"/>
  <c r="AA135" i="9"/>
  <c r="AA136" i="9" s="1"/>
  <c r="Z135" i="9"/>
  <c r="Z136" i="9" s="1"/>
  <c r="Y135" i="9"/>
  <c r="Y138" i="9" s="1"/>
  <c r="Y139" i="9" s="1"/>
  <c r="X135" i="9"/>
  <c r="X138" i="9" s="1"/>
  <c r="X139" i="9" s="1"/>
  <c r="W135" i="9"/>
  <c r="W136" i="9" s="1"/>
  <c r="V135" i="9"/>
  <c r="V136" i="9" s="1"/>
  <c r="R5" i="26"/>
  <c r="R3" i="26" s="1"/>
  <c r="E5" i="26"/>
  <c r="F4" i="26" s="1"/>
  <c r="F5" i="26" s="1"/>
  <c r="G4" i="26" s="1"/>
  <c r="G5" i="26" s="1"/>
  <c r="H4" i="26" s="1"/>
  <c r="H5" i="26" s="1"/>
  <c r="I4" i="26" s="1"/>
  <c r="I5" i="26" s="1"/>
  <c r="J4" i="26" s="1"/>
  <c r="J5" i="26" s="1"/>
  <c r="K4" i="26" s="1"/>
  <c r="K5" i="26" s="1"/>
  <c r="L4" i="26" s="1"/>
  <c r="L5" i="26" s="1"/>
  <c r="M4" i="26" s="1"/>
  <c r="M5" i="26" s="1"/>
  <c r="N4" i="26" s="1"/>
  <c r="N5" i="26" s="1"/>
  <c r="F3" i="26"/>
  <c r="G3" i="26" s="1"/>
  <c r="H3" i="26" s="1"/>
  <c r="H31" i="16"/>
  <c r="G31" i="16"/>
  <c r="H30" i="16"/>
  <c r="G30" i="16"/>
  <c r="V78" i="13"/>
  <c r="AE80" i="13"/>
  <c r="AF80" i="13" s="1"/>
  <c r="AG80" i="13" s="1"/>
  <c r="AH80" i="13" s="1"/>
  <c r="AI80" i="13" s="1"/>
  <c r="AJ80" i="13" s="1"/>
  <c r="AK80" i="13" s="1"/>
  <c r="AL80" i="13" s="1"/>
  <c r="AM80" i="13" s="1"/>
  <c r="AN80" i="13" s="1"/>
  <c r="AO80" i="13" s="1"/>
  <c r="AP80" i="13" s="1"/>
  <c r="AQ80" i="13" s="1"/>
  <c r="AR80" i="13" s="1"/>
  <c r="AS80" i="13" s="1"/>
  <c r="AT80" i="13" s="1"/>
  <c r="AU80" i="13" s="1"/>
  <c r="AV80" i="13" s="1"/>
  <c r="AW80" i="13" s="1"/>
  <c r="AX80" i="13" s="1"/>
  <c r="AY80" i="13" s="1"/>
  <c r="AZ80" i="13" s="1"/>
  <c r="BA80" i="13" s="1"/>
  <c r="AD80" i="13"/>
  <c r="AE79" i="13"/>
  <c r="AF79" i="13" s="1"/>
  <c r="AG79" i="13" s="1"/>
  <c r="AH79" i="13" s="1"/>
  <c r="AI79" i="13" s="1"/>
  <c r="AJ79" i="13" s="1"/>
  <c r="AK79" i="13" s="1"/>
  <c r="AL79" i="13" s="1"/>
  <c r="AM79" i="13" s="1"/>
  <c r="AN79" i="13" s="1"/>
  <c r="AO79" i="13" s="1"/>
  <c r="AP79" i="13" s="1"/>
  <c r="AQ79" i="13" s="1"/>
  <c r="AR79" i="13" s="1"/>
  <c r="AS79" i="13" s="1"/>
  <c r="AT79" i="13" s="1"/>
  <c r="AU79" i="13" s="1"/>
  <c r="AV79" i="13" s="1"/>
  <c r="AW79" i="13" s="1"/>
  <c r="AX79" i="13" s="1"/>
  <c r="AY79" i="13" s="1"/>
  <c r="AZ79" i="13" s="1"/>
  <c r="BA79" i="13" s="1"/>
  <c r="AD79" i="13"/>
  <c r="H201" i="1"/>
  <c r="C12" i="26"/>
  <c r="M14" i="10"/>
  <c r="L14" i="10"/>
  <c r="L5" i="10"/>
  <c r="M5" i="10" s="1"/>
  <c r="N5" i="10" s="1"/>
  <c r="AD159" i="1"/>
  <c r="AM81" i="13" l="1"/>
  <c r="X81" i="13"/>
  <c r="S23" i="9"/>
  <c r="T23" i="9"/>
  <c r="U23" i="9"/>
  <c r="R23" i="9"/>
  <c r="C19" i="26"/>
  <c r="G13" i="26"/>
  <c r="Y13" i="26" s="1"/>
  <c r="V138" i="9"/>
  <c r="V139" i="9" s="1"/>
  <c r="W138" i="9"/>
  <c r="W139" i="9" s="1"/>
  <c r="Z138" i="9"/>
  <c r="Z139" i="9" s="1"/>
  <c r="AA138" i="9"/>
  <c r="AA139" i="9" s="1"/>
  <c r="X136" i="9"/>
  <c r="AB136" i="9"/>
  <c r="Y136" i="9"/>
  <c r="AC136" i="9"/>
  <c r="AB138" i="9"/>
  <c r="S4" i="26"/>
  <c r="S5" i="26" s="1"/>
  <c r="S3" i="26" s="1"/>
  <c r="R6" i="26"/>
  <c r="I3" i="26"/>
  <c r="B70" i="12"/>
  <c r="B67" i="12"/>
  <c r="F65" i="12"/>
  <c r="G65" i="12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B66" i="15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B91" i="14"/>
  <c r="B90" i="14"/>
  <c r="D24" i="8"/>
  <c r="Y24" i="9" l="1"/>
  <c r="Y28" i="20"/>
  <c r="AN81" i="13"/>
  <c r="AM78" i="13"/>
  <c r="Y81" i="13"/>
  <c r="X78" i="13"/>
  <c r="V20" i="26"/>
  <c r="V21" i="26"/>
  <c r="X13" i="26"/>
  <c r="V13" i="26"/>
  <c r="W13" i="26"/>
  <c r="T4" i="26"/>
  <c r="T5" i="26" s="1"/>
  <c r="T3" i="26" s="1"/>
  <c r="S6" i="26"/>
  <c r="AB139" i="9"/>
  <c r="J3" i="26"/>
  <c r="AC69" i="8"/>
  <c r="Y69" i="8"/>
  <c r="U69" i="8"/>
  <c r="Q69" i="8"/>
  <c r="M69" i="8"/>
  <c r="I69" i="8"/>
  <c r="P69" i="8"/>
  <c r="H69" i="8"/>
  <c r="O69" i="8"/>
  <c r="AB69" i="8"/>
  <c r="X69" i="8"/>
  <c r="T69" i="8"/>
  <c r="L69" i="8"/>
  <c r="G69" i="8"/>
  <c r="AA69" i="8"/>
  <c r="W69" i="8"/>
  <c r="S69" i="8"/>
  <c r="K69" i="8"/>
  <c r="Z69" i="8"/>
  <c r="V69" i="8"/>
  <c r="R69" i="8"/>
  <c r="N69" i="8"/>
  <c r="J69" i="8"/>
  <c r="F69" i="8"/>
  <c r="AC8" i="5"/>
  <c r="AB8" i="5"/>
  <c r="AA8" i="5"/>
  <c r="Z8" i="5"/>
  <c r="Y8" i="5"/>
  <c r="X8" i="5"/>
  <c r="W8" i="5"/>
  <c r="V8" i="5"/>
  <c r="U8" i="5"/>
  <c r="T8" i="5"/>
  <c r="S8" i="5"/>
  <c r="R8" i="5"/>
  <c r="Q8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W20" i="26" l="1"/>
  <c r="V29" i="20"/>
  <c r="W21" i="26"/>
  <c r="V30" i="20"/>
  <c r="V24" i="9"/>
  <c r="V28" i="20"/>
  <c r="W24" i="9"/>
  <c r="W28" i="20"/>
  <c r="X24" i="9"/>
  <c r="X28" i="20"/>
  <c r="AO81" i="13"/>
  <c r="AN78" i="13"/>
  <c r="Z81" i="13"/>
  <c r="Y78" i="13"/>
  <c r="V25" i="9"/>
  <c r="V26" i="9"/>
  <c r="V31" i="9" s="1"/>
  <c r="T6" i="26"/>
  <c r="U4" i="26"/>
  <c r="U5" i="26" s="1"/>
  <c r="V4" i="26" s="1"/>
  <c r="V5" i="26" s="1"/>
  <c r="K3" i="26"/>
  <c r="AB15" i="25"/>
  <c r="AA15" i="25"/>
  <c r="Z15" i="25"/>
  <c r="Y15" i="25"/>
  <c r="X15" i="25"/>
  <c r="X16" i="25" s="1"/>
  <c r="W15" i="25"/>
  <c r="W16" i="25" s="1"/>
  <c r="V15" i="25"/>
  <c r="V16" i="25" s="1"/>
  <c r="U15" i="25"/>
  <c r="U16" i="25" s="1"/>
  <c r="AB16" i="25"/>
  <c r="AA16" i="25"/>
  <c r="Z16" i="25"/>
  <c r="Y16" i="25"/>
  <c r="AB19" i="25"/>
  <c r="AA19" i="25"/>
  <c r="Z19" i="25"/>
  <c r="Y19" i="25"/>
  <c r="X19" i="25"/>
  <c r="W19" i="25"/>
  <c r="V19" i="25"/>
  <c r="U19" i="25"/>
  <c r="AB13" i="25"/>
  <c r="X13" i="25"/>
  <c r="W13" i="25"/>
  <c r="AA13" i="25"/>
  <c r="Z13" i="25"/>
  <c r="Y13" i="25"/>
  <c r="V13" i="25"/>
  <c r="U13" i="25"/>
  <c r="Q5" i="25"/>
  <c r="Q3" i="25" s="1"/>
  <c r="E5" i="25"/>
  <c r="F4" i="25" s="1"/>
  <c r="F5" i="25" s="1"/>
  <c r="G4" i="25" s="1"/>
  <c r="G5" i="25" s="1"/>
  <c r="H4" i="25" s="1"/>
  <c r="H5" i="25" s="1"/>
  <c r="I4" i="25" s="1"/>
  <c r="I5" i="25" s="1"/>
  <c r="J4" i="25" s="1"/>
  <c r="J5" i="25" s="1"/>
  <c r="K4" i="25" s="1"/>
  <c r="K5" i="25" s="1"/>
  <c r="L4" i="25" s="1"/>
  <c r="L5" i="25" s="1"/>
  <c r="M4" i="25" s="1"/>
  <c r="M5" i="25" s="1"/>
  <c r="N4" i="25" s="1"/>
  <c r="N5" i="25" s="1"/>
  <c r="F3" i="25"/>
  <c r="G3" i="25" s="1"/>
  <c r="H3" i="25" s="1"/>
  <c r="I3" i="25" s="1"/>
  <c r="J3" i="25" s="1"/>
  <c r="K3" i="25" s="1"/>
  <c r="L3" i="25" s="1"/>
  <c r="M3" i="25" s="1"/>
  <c r="N3" i="25" s="1"/>
  <c r="X21" i="26" l="1"/>
  <c r="W30" i="20"/>
  <c r="X20" i="26"/>
  <c r="W29" i="20"/>
  <c r="AP81" i="13"/>
  <c r="AO78" i="13"/>
  <c r="AA81" i="13"/>
  <c r="Z78" i="13"/>
  <c r="V23" i="9"/>
  <c r="W25" i="9"/>
  <c r="W26" i="9"/>
  <c r="W31" i="9" s="1"/>
  <c r="U3" i="26"/>
  <c r="U6" i="26"/>
  <c r="L3" i="26"/>
  <c r="V3" i="26"/>
  <c r="W4" i="26"/>
  <c r="W5" i="26" s="1"/>
  <c r="V6" i="26"/>
  <c r="R4" i="25"/>
  <c r="R5" i="25" s="1"/>
  <c r="Q6" i="25"/>
  <c r="Y20" i="26" l="1"/>
  <c r="X29" i="20"/>
  <c r="Y21" i="26"/>
  <c r="X30" i="20"/>
  <c r="AQ81" i="13"/>
  <c r="AP78" i="13"/>
  <c r="AA78" i="13"/>
  <c r="AB81" i="13"/>
  <c r="X26" i="9"/>
  <c r="X31" i="9" s="1"/>
  <c r="W23" i="9"/>
  <c r="X25" i="9"/>
  <c r="W3" i="26"/>
  <c r="W6" i="26"/>
  <c r="X4" i="26"/>
  <c r="X5" i="26" s="1"/>
  <c r="M3" i="26"/>
  <c r="R3" i="25"/>
  <c r="R6" i="25"/>
  <c r="S4" i="25"/>
  <c r="S5" i="25" s="1"/>
  <c r="Z21" i="26" l="1"/>
  <c r="Y30" i="20"/>
  <c r="Z20" i="26"/>
  <c r="Y29" i="20"/>
  <c r="AR81" i="13"/>
  <c r="AQ78" i="13"/>
  <c r="AC81" i="13"/>
  <c r="AB78" i="13"/>
  <c r="X23" i="9"/>
  <c r="Y26" i="9"/>
  <c r="Y31" i="9" s="1"/>
  <c r="Y25" i="9"/>
  <c r="W32" i="26"/>
  <c r="V32" i="26"/>
  <c r="X6" i="26"/>
  <c r="Y4" i="26"/>
  <c r="Y5" i="26" s="1"/>
  <c r="X3" i="26"/>
  <c r="N3" i="26"/>
  <c r="S6" i="25"/>
  <c r="T4" i="25"/>
  <c r="T5" i="25" s="1"/>
  <c r="S3" i="25"/>
  <c r="AA20" i="26" l="1"/>
  <c r="Z29" i="20"/>
  <c r="AA21" i="26"/>
  <c r="Z30" i="20"/>
  <c r="AS81" i="13"/>
  <c r="AR78" i="13"/>
  <c r="AD81" i="13"/>
  <c r="AC78" i="13"/>
  <c r="Y23" i="9"/>
  <c r="Z25" i="9"/>
  <c r="Z26" i="9"/>
  <c r="Z31" i="9" s="1"/>
  <c r="X32" i="26"/>
  <c r="X24" i="26"/>
  <c r="W24" i="26"/>
  <c r="Z4" i="26"/>
  <c r="Z5" i="26" s="1"/>
  <c r="Y6" i="26"/>
  <c r="Y3" i="26"/>
  <c r="T6" i="25"/>
  <c r="U4" i="25"/>
  <c r="U5" i="25" s="1"/>
  <c r="T3" i="25"/>
  <c r="AB21" i="26" l="1"/>
  <c r="AA30" i="20"/>
  <c r="AB20" i="26"/>
  <c r="AA29" i="20"/>
  <c r="W26" i="26"/>
  <c r="W25" i="26" s="1"/>
  <c r="X26" i="26"/>
  <c r="X25" i="26" s="1"/>
  <c r="AT81" i="13"/>
  <c r="AS78" i="13"/>
  <c r="AE81" i="13"/>
  <c r="AD78" i="13"/>
  <c r="AA26" i="9"/>
  <c r="AA31" i="9" s="1"/>
  <c r="AA25" i="9"/>
  <c r="Y32" i="26"/>
  <c r="Y24" i="26"/>
  <c r="Z3" i="26"/>
  <c r="Z6" i="26"/>
  <c r="AA4" i="26"/>
  <c r="AA5" i="26" s="1"/>
  <c r="V4" i="25"/>
  <c r="V5" i="25" s="1"/>
  <c r="U3" i="25"/>
  <c r="U6" i="25"/>
  <c r="AC20" i="26" l="1"/>
  <c r="AB29" i="20"/>
  <c r="AC21" i="26"/>
  <c r="AB30" i="20"/>
  <c r="Y26" i="26"/>
  <c r="Y25" i="26" s="1"/>
  <c r="AU81" i="13"/>
  <c r="AT78" i="13"/>
  <c r="AE78" i="13"/>
  <c r="AF81" i="13"/>
  <c r="AB25" i="9"/>
  <c r="AB26" i="9"/>
  <c r="AB31" i="9" s="1"/>
  <c r="Z32" i="26"/>
  <c r="AB4" i="26"/>
  <c r="AB5" i="26" s="1"/>
  <c r="AA3" i="26"/>
  <c r="AA6" i="26"/>
  <c r="V3" i="25"/>
  <c r="W4" i="25"/>
  <c r="W5" i="25" s="1"/>
  <c r="V6" i="25"/>
  <c r="AD21" i="26" l="1"/>
  <c r="AC30" i="20"/>
  <c r="AD20" i="26"/>
  <c r="AC29" i="20"/>
  <c r="AV81" i="13"/>
  <c r="AU78" i="13"/>
  <c r="AG81" i="13"/>
  <c r="AF78" i="13"/>
  <c r="AC26" i="9"/>
  <c r="AC31" i="9" s="1"/>
  <c r="AC25" i="9"/>
  <c r="AA32" i="26"/>
  <c r="AB6" i="26"/>
  <c r="AB3" i="26"/>
  <c r="AC4" i="26"/>
  <c r="AC5" i="26" s="1"/>
  <c r="W3" i="25"/>
  <c r="W6" i="25"/>
  <c r="X4" i="25"/>
  <c r="X5" i="25" s="1"/>
  <c r="AE20" i="26" l="1"/>
  <c r="AD29" i="20"/>
  <c r="AE21" i="26"/>
  <c r="AD30" i="20"/>
  <c r="AW81" i="13"/>
  <c r="AV78" i="13"/>
  <c r="AH81" i="13"/>
  <c r="AG78" i="13"/>
  <c r="AD25" i="9"/>
  <c r="AD26" i="9"/>
  <c r="AB32" i="26"/>
  <c r="AD4" i="26"/>
  <c r="AD5" i="26" s="1"/>
  <c r="AC6" i="26"/>
  <c r="AC3" i="26"/>
  <c r="X3" i="25"/>
  <c r="X6" i="25"/>
  <c r="Y4" i="25"/>
  <c r="Y5" i="25" s="1"/>
  <c r="AF21" i="26" l="1"/>
  <c r="AE30" i="20"/>
  <c r="AF20" i="26"/>
  <c r="AE29" i="20"/>
  <c r="AX81" i="13"/>
  <c r="AW78" i="13"/>
  <c r="AH78" i="13"/>
  <c r="AI81" i="13"/>
  <c r="AE26" i="9"/>
  <c r="AE25" i="9"/>
  <c r="AC32" i="26"/>
  <c r="AD3" i="26"/>
  <c r="AD6" i="26"/>
  <c r="AE4" i="26"/>
  <c r="AE5" i="26" s="1"/>
  <c r="Y3" i="25"/>
  <c r="Y6" i="25"/>
  <c r="Z4" i="25"/>
  <c r="Z5" i="25" s="1"/>
  <c r="AG20" i="26" l="1"/>
  <c r="AF29" i="20"/>
  <c r="AG21" i="26"/>
  <c r="AF30" i="20"/>
  <c r="AY81" i="13"/>
  <c r="AX78" i="13"/>
  <c r="AI78" i="13"/>
  <c r="AJ81" i="13"/>
  <c r="AF25" i="9"/>
  <c r="AF26" i="9"/>
  <c r="AD32" i="26"/>
  <c r="AE3" i="26"/>
  <c r="AF4" i="26"/>
  <c r="AF5" i="26" s="1"/>
  <c r="AE6" i="26"/>
  <c r="Z3" i="25"/>
  <c r="Z6" i="25"/>
  <c r="AA4" i="25"/>
  <c r="AA5" i="25" s="1"/>
  <c r="AH21" i="26" l="1"/>
  <c r="AG30" i="20"/>
  <c r="AH20" i="26"/>
  <c r="AG29" i="20"/>
  <c r="AZ81" i="13"/>
  <c r="AY78" i="13"/>
  <c r="AK81" i="13"/>
  <c r="AK78" i="13" s="1"/>
  <c r="AJ78" i="13"/>
  <c r="AG26" i="9"/>
  <c r="AG25" i="9"/>
  <c r="AE32" i="26"/>
  <c r="AF6" i="26"/>
  <c r="AG4" i="26"/>
  <c r="AG5" i="26" s="1"/>
  <c r="AF3" i="26"/>
  <c r="AA6" i="25"/>
  <c r="AB4" i="25"/>
  <c r="AB5" i="25" s="1"/>
  <c r="AA3" i="25"/>
  <c r="AI20" i="26" l="1"/>
  <c r="AH29" i="20"/>
  <c r="AI21" i="26"/>
  <c r="AH30" i="20"/>
  <c r="BA81" i="13"/>
  <c r="BA78" i="13" s="1"/>
  <c r="AZ78" i="13"/>
  <c r="AH25" i="9"/>
  <c r="AH26" i="9"/>
  <c r="AF32" i="26"/>
  <c r="AH4" i="26"/>
  <c r="AH5" i="26" s="1"/>
  <c r="AG6" i="26"/>
  <c r="AG3" i="26"/>
  <c r="AB6" i="25"/>
  <c r="AC4" i="25"/>
  <c r="AC5" i="25" s="1"/>
  <c r="AB3" i="25"/>
  <c r="AJ21" i="26" l="1"/>
  <c r="AI30" i="20"/>
  <c r="AJ20" i="26"/>
  <c r="AI29" i="20"/>
  <c r="AI26" i="9"/>
  <c r="AI25" i="9"/>
  <c r="AG32" i="26"/>
  <c r="AH3" i="26"/>
  <c r="AH6" i="26"/>
  <c r="AI4" i="26"/>
  <c r="AI5" i="26" s="1"/>
  <c r="AD4" i="25"/>
  <c r="AD5" i="25" s="1"/>
  <c r="AC6" i="25"/>
  <c r="AC3" i="25"/>
  <c r="AK20" i="26" l="1"/>
  <c r="AJ29" i="20"/>
  <c r="AK21" i="26"/>
  <c r="AJ30" i="20"/>
  <c r="AJ25" i="9"/>
  <c r="AJ26" i="9"/>
  <c r="AH32" i="26"/>
  <c r="AI6" i="26"/>
  <c r="AJ4" i="26"/>
  <c r="AJ5" i="26" s="1"/>
  <c r="AI3" i="26"/>
  <c r="AD3" i="25"/>
  <c r="AE4" i="25"/>
  <c r="AE5" i="25" s="1"/>
  <c r="AD6" i="25"/>
  <c r="AL21" i="26" l="1"/>
  <c r="AK30" i="20"/>
  <c r="AL20" i="26"/>
  <c r="AK29" i="20"/>
  <c r="AK26" i="9"/>
  <c r="AK25" i="9"/>
  <c r="AI32" i="26"/>
  <c r="AJ6" i="26"/>
  <c r="AJ3" i="26"/>
  <c r="AK4" i="26"/>
  <c r="AK5" i="26" s="1"/>
  <c r="AE3" i="25"/>
  <c r="AE6" i="25"/>
  <c r="AF4" i="25"/>
  <c r="AF5" i="25" s="1"/>
  <c r="AM20" i="26" l="1"/>
  <c r="AL29" i="20"/>
  <c r="AM21" i="26"/>
  <c r="AL30" i="20"/>
  <c r="AL25" i="9"/>
  <c r="AL26" i="9"/>
  <c r="AJ32" i="26"/>
  <c r="AL4" i="26"/>
  <c r="AL5" i="26" s="1"/>
  <c r="AK6" i="26"/>
  <c r="AK3" i="26"/>
  <c r="AF3" i="25"/>
  <c r="AF6" i="25"/>
  <c r="AG4" i="25"/>
  <c r="AG5" i="25" s="1"/>
  <c r="AN21" i="26" l="1"/>
  <c r="AM30" i="20"/>
  <c r="AN20" i="26"/>
  <c r="AM29" i="20"/>
  <c r="AM26" i="9"/>
  <c r="AM25" i="9"/>
  <c r="AK32" i="26"/>
  <c r="AL3" i="26"/>
  <c r="AM4" i="26"/>
  <c r="AM5" i="26" s="1"/>
  <c r="AL6" i="26"/>
  <c r="AG3" i="25"/>
  <c r="AG6" i="25"/>
  <c r="AH4" i="25"/>
  <c r="AH5" i="25" s="1"/>
  <c r="AO20" i="26" l="1"/>
  <c r="AN29" i="20"/>
  <c r="AO21" i="26"/>
  <c r="AN30" i="20"/>
  <c r="AN25" i="9"/>
  <c r="AN26" i="9"/>
  <c r="AL32" i="26"/>
  <c r="AM3" i="26"/>
  <c r="AM6" i="26"/>
  <c r="AN4" i="26"/>
  <c r="AN5" i="26" s="1"/>
  <c r="AH3" i="25"/>
  <c r="AH6" i="25"/>
  <c r="AI4" i="25"/>
  <c r="AI5" i="25" s="1"/>
  <c r="AP21" i="26" l="1"/>
  <c r="AO30" i="20"/>
  <c r="AP20" i="26"/>
  <c r="AO29" i="20"/>
  <c r="AO26" i="9"/>
  <c r="AO25" i="9"/>
  <c r="AM32" i="26"/>
  <c r="AN6" i="26"/>
  <c r="AN3" i="26"/>
  <c r="AO4" i="26"/>
  <c r="AO5" i="26" s="1"/>
  <c r="AI6" i="25"/>
  <c r="AJ4" i="25"/>
  <c r="AJ5" i="25" s="1"/>
  <c r="AI3" i="25"/>
  <c r="AQ21" i="26" l="1"/>
  <c r="AP30" i="20"/>
  <c r="AQ20" i="26"/>
  <c r="AP29" i="20"/>
  <c r="AP25" i="9"/>
  <c r="AP26" i="9"/>
  <c r="AN32" i="26"/>
  <c r="AP4" i="26"/>
  <c r="AP5" i="26" s="1"/>
  <c r="AO6" i="26"/>
  <c r="AO3" i="26"/>
  <c r="AJ6" i="25"/>
  <c r="AK4" i="25"/>
  <c r="AK5" i="25" s="1"/>
  <c r="AJ3" i="25"/>
  <c r="AR20" i="26" l="1"/>
  <c r="AQ29" i="20"/>
  <c r="AR21" i="26"/>
  <c r="AQ30" i="20"/>
  <c r="AQ26" i="9"/>
  <c r="AQ25" i="9"/>
  <c r="AO32" i="26"/>
  <c r="AP3" i="26"/>
  <c r="AP6" i="26"/>
  <c r="AQ4" i="26"/>
  <c r="AQ5" i="26" s="1"/>
  <c r="AL4" i="25"/>
  <c r="AL5" i="25" s="1"/>
  <c r="AK3" i="25"/>
  <c r="AK6" i="25"/>
  <c r="AS21" i="26" l="1"/>
  <c r="AR30" i="20"/>
  <c r="AS20" i="26"/>
  <c r="AR29" i="20"/>
  <c r="AR25" i="9"/>
  <c r="AR26" i="9"/>
  <c r="AP32" i="26"/>
  <c r="AR4" i="26"/>
  <c r="AR5" i="26" s="1"/>
  <c r="AQ3" i="26"/>
  <c r="AQ6" i="26"/>
  <c r="AL3" i="25"/>
  <c r="AM4" i="25"/>
  <c r="AM5" i="25" s="1"/>
  <c r="AL6" i="25"/>
  <c r="AT20" i="26" l="1"/>
  <c r="AS29" i="20"/>
  <c r="AT21" i="26"/>
  <c r="AS30" i="20"/>
  <c r="AS26" i="9"/>
  <c r="AS25" i="9"/>
  <c r="AQ32" i="26"/>
  <c r="AR6" i="26"/>
  <c r="AR3" i="26"/>
  <c r="AS4" i="26"/>
  <c r="AS5" i="26" s="1"/>
  <c r="AM3" i="25"/>
  <c r="AM6" i="25"/>
  <c r="AN4" i="25"/>
  <c r="AN5" i="25" s="1"/>
  <c r="AU21" i="26" l="1"/>
  <c r="AT30" i="20"/>
  <c r="AU20" i="26"/>
  <c r="AT29" i="20"/>
  <c r="AT25" i="9"/>
  <c r="AT26" i="9"/>
  <c r="AR32" i="26"/>
  <c r="AT4" i="26"/>
  <c r="AT5" i="26" s="1"/>
  <c r="AS6" i="26"/>
  <c r="AS3" i="26"/>
  <c r="AN3" i="25"/>
  <c r="AN6" i="25"/>
  <c r="AO4" i="25"/>
  <c r="AO5" i="25" s="1"/>
  <c r="AV20" i="26" l="1"/>
  <c r="AU29" i="20"/>
  <c r="AV21" i="26"/>
  <c r="AU30" i="20"/>
  <c r="AU26" i="9"/>
  <c r="AU25" i="9"/>
  <c r="AS32" i="26"/>
  <c r="AT3" i="26"/>
  <c r="AT6" i="26"/>
  <c r="AU4" i="26"/>
  <c r="AU5" i="26" s="1"/>
  <c r="AO3" i="25"/>
  <c r="AO6" i="25"/>
  <c r="AP4" i="25"/>
  <c r="AP5" i="25" s="1"/>
  <c r="AV30" i="20" l="1"/>
  <c r="AW21" i="26"/>
  <c r="AW20" i="26"/>
  <c r="AV29" i="20"/>
  <c r="AV25" i="9"/>
  <c r="AV26" i="9"/>
  <c r="AT32" i="26"/>
  <c r="AU3" i="26"/>
  <c r="AV4" i="26"/>
  <c r="AV5" i="26" s="1"/>
  <c r="AU6" i="26"/>
  <c r="AP3" i="25"/>
  <c r="AP6" i="25"/>
  <c r="AQ4" i="25"/>
  <c r="AQ5" i="25" s="1"/>
  <c r="AX20" i="26" l="1"/>
  <c r="AW29" i="20"/>
  <c r="AW30" i="20"/>
  <c r="AX21" i="26"/>
  <c r="AW26" i="9"/>
  <c r="AW25" i="9"/>
  <c r="AU32" i="26"/>
  <c r="AV6" i="26"/>
  <c r="AW4" i="26"/>
  <c r="AW5" i="26" s="1"/>
  <c r="AV3" i="26"/>
  <c r="AQ6" i="25"/>
  <c r="AR4" i="25"/>
  <c r="AR5" i="25" s="1"/>
  <c r="AQ3" i="25"/>
  <c r="AX30" i="20" l="1"/>
  <c r="AY21" i="26"/>
  <c r="AY20" i="26"/>
  <c r="AX29" i="20"/>
  <c r="AX25" i="9"/>
  <c r="AX26" i="9"/>
  <c r="AV32" i="26"/>
  <c r="AX4" i="26"/>
  <c r="AX5" i="26" s="1"/>
  <c r="AW3" i="26"/>
  <c r="AW6" i="26"/>
  <c r="AR6" i="25"/>
  <c r="AS4" i="25"/>
  <c r="AS5" i="25" s="1"/>
  <c r="AR3" i="25"/>
  <c r="AZ20" i="26" l="1"/>
  <c r="AY29" i="20"/>
  <c r="AY30" i="20"/>
  <c r="AZ21" i="26"/>
  <c r="AY26" i="9"/>
  <c r="AY25" i="9"/>
  <c r="AW32" i="26"/>
  <c r="AX3" i="26"/>
  <c r="AX6" i="26"/>
  <c r="AY4" i="26"/>
  <c r="AY5" i="26" s="1"/>
  <c r="AT4" i="25"/>
  <c r="AT5" i="25" s="1"/>
  <c r="AS3" i="25"/>
  <c r="AS6" i="25"/>
  <c r="AZ30" i="20" l="1"/>
  <c r="BA21" i="26"/>
  <c r="BA30" i="20" s="1"/>
  <c r="BA20" i="26"/>
  <c r="BA29" i="20" s="1"/>
  <c r="AZ29" i="20"/>
  <c r="AZ25" i="9"/>
  <c r="AZ26" i="9"/>
  <c r="AX32" i="26"/>
  <c r="AY6" i="26"/>
  <c r="AZ4" i="26"/>
  <c r="AZ5" i="26" s="1"/>
  <c r="AY3" i="26"/>
  <c r="AT3" i="25"/>
  <c r="AU4" i="25"/>
  <c r="AU5" i="25" s="1"/>
  <c r="AT6" i="25"/>
  <c r="BA26" i="9" l="1"/>
  <c r="N26" i="9" s="1"/>
  <c r="BA25" i="9"/>
  <c r="G26" i="9"/>
  <c r="G31" i="9" s="1"/>
  <c r="H26" i="9"/>
  <c r="I26" i="9"/>
  <c r="J26" i="9"/>
  <c r="K26" i="9"/>
  <c r="L26" i="9"/>
  <c r="M26" i="9"/>
  <c r="AY32" i="26"/>
  <c r="AZ6" i="26"/>
  <c r="AZ3" i="26"/>
  <c r="BA4" i="26"/>
  <c r="BA5" i="26" s="1"/>
  <c r="AU3" i="25"/>
  <c r="AU6" i="25"/>
  <c r="AV4" i="25"/>
  <c r="AV5" i="25" s="1"/>
  <c r="H31" i="9" l="1"/>
  <c r="P26" i="9"/>
  <c r="AZ32" i="26"/>
  <c r="BA6" i="26"/>
  <c r="BA3" i="26"/>
  <c r="AV3" i="25"/>
  <c r="AV6" i="25"/>
  <c r="AW4" i="25"/>
  <c r="AW5" i="25" s="1"/>
  <c r="BA32" i="26" l="1"/>
  <c r="V30" i="26"/>
  <c r="W30" i="26"/>
  <c r="Y30" i="26"/>
  <c r="X30" i="26"/>
  <c r="AW3" i="25"/>
  <c r="AW6" i="25"/>
  <c r="AX4" i="25"/>
  <c r="AX5" i="25" s="1"/>
  <c r="AX3" i="25" l="1"/>
  <c r="AX6" i="25"/>
  <c r="AY4" i="25"/>
  <c r="AY5" i="25" s="1"/>
  <c r="AY6" i="25" l="1"/>
  <c r="AZ4" i="25"/>
  <c r="AZ5" i="25" s="1"/>
  <c r="AY3" i="25"/>
  <c r="AZ6" i="25" l="1"/>
  <c r="AZ3" i="25"/>
  <c r="D18" i="8" l="1"/>
  <c r="AC68" i="13"/>
  <c r="AB68" i="13"/>
  <c r="AA68" i="13"/>
  <c r="Z68" i="13"/>
  <c r="Y68" i="13"/>
  <c r="X68" i="13"/>
  <c r="W68" i="13"/>
  <c r="V68" i="13"/>
  <c r="N44" i="18"/>
  <c r="M44" i="18"/>
  <c r="L44" i="18"/>
  <c r="K44" i="18"/>
  <c r="J44" i="18"/>
  <c r="I44" i="18"/>
  <c r="H44" i="18"/>
  <c r="V9" i="18"/>
  <c r="V40" i="18"/>
  <c r="N40" i="18"/>
  <c r="O40" i="18" s="1"/>
  <c r="P40" i="18" s="1"/>
  <c r="Q40" i="18" s="1"/>
  <c r="I40" i="18"/>
  <c r="J40" i="18" s="1"/>
  <c r="K40" i="18" s="1"/>
  <c r="L40" i="18" s="1"/>
  <c r="H4" i="12"/>
  <c r="D70" i="13" l="1"/>
  <c r="D21" i="8"/>
  <c r="R10" i="18"/>
  <c r="M10" i="18"/>
  <c r="H10" i="18"/>
  <c r="N9" i="18"/>
  <c r="N10" i="18" s="1"/>
  <c r="I9" i="18"/>
  <c r="J9" i="18" s="1"/>
  <c r="K9" i="18" s="1"/>
  <c r="L9" i="18" s="1"/>
  <c r="L10" i="18" s="1"/>
  <c r="H35" i="18"/>
  <c r="H34" i="18" s="1"/>
  <c r="I35" i="18"/>
  <c r="I34" i="18" s="1"/>
  <c r="J35" i="18"/>
  <c r="J34" i="18" s="1"/>
  <c r="K35" i="18"/>
  <c r="K34" i="18" s="1"/>
  <c r="L35" i="18"/>
  <c r="L34" i="18" s="1"/>
  <c r="M35" i="18"/>
  <c r="M34" i="18" s="1"/>
  <c r="N35" i="18"/>
  <c r="N34" i="18" s="1"/>
  <c r="O35" i="18"/>
  <c r="O34" i="18" s="1"/>
  <c r="P35" i="18"/>
  <c r="P34" i="18" s="1"/>
  <c r="Q35" i="18"/>
  <c r="Q34" i="18" s="1"/>
  <c r="R35" i="18"/>
  <c r="G35" i="18"/>
  <c r="G34" i="18" s="1"/>
  <c r="H125" i="24"/>
  <c r="G125" i="24"/>
  <c r="F125" i="24"/>
  <c r="H124" i="24"/>
  <c r="G124" i="24"/>
  <c r="F124" i="24"/>
  <c r="H123" i="24"/>
  <c r="G123" i="24"/>
  <c r="F123" i="24"/>
  <c r="H122" i="24"/>
  <c r="G122" i="24"/>
  <c r="F122" i="24"/>
  <c r="H121" i="24"/>
  <c r="G121" i="24"/>
  <c r="F121" i="24"/>
  <c r="H120" i="24"/>
  <c r="G120" i="24"/>
  <c r="F120" i="24"/>
  <c r="H119" i="24"/>
  <c r="G119" i="24"/>
  <c r="F119" i="24"/>
  <c r="H118" i="24"/>
  <c r="G118" i="24"/>
  <c r="F118" i="24"/>
  <c r="H117" i="24"/>
  <c r="G117" i="24"/>
  <c r="F117" i="24"/>
  <c r="H116" i="24"/>
  <c r="G116" i="24"/>
  <c r="F116" i="24"/>
  <c r="H115" i="24"/>
  <c r="G115" i="24"/>
  <c r="F115" i="24"/>
  <c r="H114" i="24"/>
  <c r="G114" i="24"/>
  <c r="F114" i="24"/>
  <c r="H113" i="24"/>
  <c r="G113" i="24"/>
  <c r="F113" i="24"/>
  <c r="H112" i="24"/>
  <c r="G112" i="24"/>
  <c r="F112" i="24"/>
  <c r="H111" i="24"/>
  <c r="G111" i="24"/>
  <c r="F111" i="24"/>
  <c r="H110" i="24"/>
  <c r="G110" i="24"/>
  <c r="F110" i="24"/>
  <c r="H109" i="24"/>
  <c r="G109" i="24"/>
  <c r="F109" i="24"/>
  <c r="H108" i="24"/>
  <c r="G108" i="24"/>
  <c r="F108" i="24"/>
  <c r="H107" i="24"/>
  <c r="G107" i="24"/>
  <c r="F107" i="24"/>
  <c r="H106" i="24"/>
  <c r="G106" i="24"/>
  <c r="F106" i="24"/>
  <c r="H105" i="24"/>
  <c r="G105" i="24"/>
  <c r="F105" i="24"/>
  <c r="H104" i="24"/>
  <c r="G104" i="24"/>
  <c r="F104" i="24"/>
  <c r="H103" i="24"/>
  <c r="G103" i="24"/>
  <c r="F103" i="24"/>
  <c r="H102" i="24"/>
  <c r="G102" i="24"/>
  <c r="F102" i="24"/>
  <c r="H101" i="24"/>
  <c r="G101" i="24"/>
  <c r="F101" i="24"/>
  <c r="H100" i="24"/>
  <c r="G100" i="24"/>
  <c r="F100" i="24"/>
  <c r="H99" i="24"/>
  <c r="G99" i="24"/>
  <c r="F99" i="24"/>
  <c r="H98" i="24"/>
  <c r="G98" i="24"/>
  <c r="F98" i="24"/>
  <c r="H97" i="24"/>
  <c r="G97" i="24"/>
  <c r="F97" i="24"/>
  <c r="H96" i="24"/>
  <c r="G96" i="24"/>
  <c r="F96" i="24"/>
  <c r="H95" i="24"/>
  <c r="G95" i="24"/>
  <c r="F95" i="24"/>
  <c r="H94" i="24"/>
  <c r="G94" i="24"/>
  <c r="F94" i="24"/>
  <c r="H93" i="24"/>
  <c r="G93" i="24"/>
  <c r="F93" i="24"/>
  <c r="H92" i="24"/>
  <c r="G92" i="24"/>
  <c r="F92" i="24"/>
  <c r="H91" i="24"/>
  <c r="G91" i="24"/>
  <c r="F91" i="24"/>
  <c r="H90" i="24"/>
  <c r="G90" i="24"/>
  <c r="F90" i="24"/>
  <c r="H89" i="24"/>
  <c r="G89" i="24"/>
  <c r="F89" i="24"/>
  <c r="H88" i="24"/>
  <c r="G88" i="24"/>
  <c r="F88" i="24"/>
  <c r="H87" i="24"/>
  <c r="G87" i="24"/>
  <c r="F87" i="24"/>
  <c r="H86" i="24"/>
  <c r="G86" i="24"/>
  <c r="F86" i="24"/>
  <c r="H85" i="24"/>
  <c r="G85" i="24"/>
  <c r="F85" i="24"/>
  <c r="H84" i="24"/>
  <c r="G84" i="24"/>
  <c r="F84" i="24"/>
  <c r="H83" i="24"/>
  <c r="G83" i="24"/>
  <c r="F83" i="24"/>
  <c r="H82" i="24"/>
  <c r="G82" i="24"/>
  <c r="F82" i="24"/>
  <c r="H81" i="24"/>
  <c r="G81" i="24"/>
  <c r="F81" i="24"/>
  <c r="H80" i="24"/>
  <c r="G80" i="24"/>
  <c r="F80" i="24"/>
  <c r="H79" i="24"/>
  <c r="G79" i="24"/>
  <c r="F79" i="24"/>
  <c r="H78" i="24"/>
  <c r="G78" i="24"/>
  <c r="F78" i="24"/>
  <c r="H77" i="24"/>
  <c r="G77" i="24"/>
  <c r="F77" i="24"/>
  <c r="H76" i="24"/>
  <c r="G76" i="24"/>
  <c r="F76" i="24"/>
  <c r="H75" i="24"/>
  <c r="G75" i="24"/>
  <c r="F75" i="24"/>
  <c r="H74" i="24"/>
  <c r="G74" i="24"/>
  <c r="F74" i="24"/>
  <c r="H73" i="24"/>
  <c r="G73" i="24"/>
  <c r="F73" i="24"/>
  <c r="H72" i="24"/>
  <c r="G72" i="24"/>
  <c r="F72" i="24"/>
  <c r="H71" i="24"/>
  <c r="G71" i="24"/>
  <c r="F71" i="24"/>
  <c r="H70" i="24"/>
  <c r="G70" i="24"/>
  <c r="F70" i="24"/>
  <c r="H69" i="24"/>
  <c r="G69" i="24"/>
  <c r="F69" i="24"/>
  <c r="H68" i="24"/>
  <c r="G68" i="24"/>
  <c r="F68" i="24"/>
  <c r="H67" i="24"/>
  <c r="G67" i="24"/>
  <c r="F67" i="24"/>
  <c r="H66" i="24"/>
  <c r="G66" i="24"/>
  <c r="F66" i="24"/>
  <c r="H65" i="24"/>
  <c r="G65" i="24"/>
  <c r="F65" i="24"/>
  <c r="H64" i="24"/>
  <c r="G64" i="24"/>
  <c r="F64" i="24"/>
  <c r="H63" i="24"/>
  <c r="G63" i="24"/>
  <c r="F63" i="24"/>
  <c r="H62" i="24"/>
  <c r="G62" i="24"/>
  <c r="F62" i="24"/>
  <c r="H61" i="24"/>
  <c r="G61" i="24"/>
  <c r="F61" i="24"/>
  <c r="H60" i="24"/>
  <c r="G60" i="24"/>
  <c r="F60" i="24"/>
  <c r="H59" i="24"/>
  <c r="G59" i="24"/>
  <c r="F59" i="24"/>
  <c r="H58" i="24"/>
  <c r="G58" i="24"/>
  <c r="F58" i="24"/>
  <c r="H57" i="24"/>
  <c r="G57" i="24"/>
  <c r="F57" i="24"/>
  <c r="H56" i="24"/>
  <c r="G56" i="24"/>
  <c r="F56" i="24"/>
  <c r="H55" i="24"/>
  <c r="G55" i="24"/>
  <c r="F55" i="24"/>
  <c r="H54" i="24"/>
  <c r="G54" i="24"/>
  <c r="F54" i="24"/>
  <c r="H53" i="24"/>
  <c r="G53" i="24"/>
  <c r="F53" i="24"/>
  <c r="H52" i="24"/>
  <c r="G52" i="24"/>
  <c r="F52" i="24"/>
  <c r="H51" i="24"/>
  <c r="G51" i="24"/>
  <c r="F51" i="24"/>
  <c r="H50" i="24"/>
  <c r="G50" i="24"/>
  <c r="F50" i="24"/>
  <c r="H49" i="24"/>
  <c r="G49" i="24"/>
  <c r="F49" i="24"/>
  <c r="H48" i="24"/>
  <c r="G48" i="24"/>
  <c r="F48" i="24"/>
  <c r="H47" i="24"/>
  <c r="G47" i="24"/>
  <c r="F47" i="24"/>
  <c r="H46" i="24"/>
  <c r="G46" i="24"/>
  <c r="F46" i="24"/>
  <c r="H45" i="24"/>
  <c r="G45" i="24"/>
  <c r="F45" i="24"/>
  <c r="H44" i="24"/>
  <c r="G44" i="24"/>
  <c r="F44" i="24"/>
  <c r="H43" i="24"/>
  <c r="G43" i="24"/>
  <c r="F43" i="24"/>
  <c r="H42" i="24"/>
  <c r="G42" i="24"/>
  <c r="F42" i="24"/>
  <c r="H41" i="24"/>
  <c r="G41" i="24"/>
  <c r="F41" i="24"/>
  <c r="H40" i="24"/>
  <c r="G40" i="24"/>
  <c r="F40" i="24"/>
  <c r="H39" i="24"/>
  <c r="G39" i="24"/>
  <c r="F39" i="24"/>
  <c r="H38" i="24"/>
  <c r="G38" i="24"/>
  <c r="F38" i="24"/>
  <c r="H37" i="24"/>
  <c r="G37" i="24"/>
  <c r="F37" i="24"/>
  <c r="H36" i="24"/>
  <c r="G36" i="24"/>
  <c r="F36" i="24"/>
  <c r="H35" i="24"/>
  <c r="G35" i="24"/>
  <c r="F35" i="24"/>
  <c r="H34" i="24"/>
  <c r="G34" i="24"/>
  <c r="F34" i="24"/>
  <c r="H33" i="24"/>
  <c r="G33" i="24"/>
  <c r="F33" i="24"/>
  <c r="H32" i="24"/>
  <c r="G32" i="24"/>
  <c r="F32" i="24"/>
  <c r="H31" i="24"/>
  <c r="G31" i="24"/>
  <c r="F31" i="24"/>
  <c r="H30" i="24"/>
  <c r="G30" i="24"/>
  <c r="F30" i="24"/>
  <c r="H29" i="24"/>
  <c r="G29" i="24"/>
  <c r="F29" i="24"/>
  <c r="H28" i="24"/>
  <c r="G28" i="24"/>
  <c r="F28" i="24"/>
  <c r="H27" i="24"/>
  <c r="G27" i="24"/>
  <c r="F27" i="24"/>
  <c r="H26" i="24"/>
  <c r="G26" i="24"/>
  <c r="F26" i="24"/>
  <c r="H25" i="24"/>
  <c r="G25" i="24"/>
  <c r="F25" i="24"/>
  <c r="H24" i="24"/>
  <c r="G24" i="24"/>
  <c r="F24" i="24"/>
  <c r="H23" i="24"/>
  <c r="G23" i="24"/>
  <c r="F23" i="24"/>
  <c r="H22" i="24"/>
  <c r="G22" i="24"/>
  <c r="F22" i="24"/>
  <c r="H21" i="24"/>
  <c r="G21" i="24"/>
  <c r="F21" i="24"/>
  <c r="H20" i="24"/>
  <c r="G20" i="24"/>
  <c r="F20" i="24"/>
  <c r="H19" i="24"/>
  <c r="G19" i="24"/>
  <c r="F19" i="24"/>
  <c r="H18" i="24"/>
  <c r="G18" i="24"/>
  <c r="F18" i="24"/>
  <c r="H17" i="24"/>
  <c r="G17" i="24"/>
  <c r="F17" i="24"/>
  <c r="H16" i="24"/>
  <c r="G16" i="24"/>
  <c r="F16" i="24"/>
  <c r="H15" i="24"/>
  <c r="G15" i="24"/>
  <c r="F15" i="24"/>
  <c r="H14" i="24"/>
  <c r="G14" i="24"/>
  <c r="F14" i="24"/>
  <c r="H13" i="24"/>
  <c r="G13" i="24"/>
  <c r="F13" i="24"/>
  <c r="H12" i="24"/>
  <c r="G12" i="24"/>
  <c r="F12" i="24"/>
  <c r="H11" i="24"/>
  <c r="G11" i="24"/>
  <c r="F11" i="24"/>
  <c r="H10" i="24"/>
  <c r="G10" i="24"/>
  <c r="F10" i="24"/>
  <c r="H9" i="24"/>
  <c r="G9" i="24"/>
  <c r="F9" i="24"/>
  <c r="H8" i="24"/>
  <c r="G8" i="24"/>
  <c r="F8" i="24"/>
  <c r="H7" i="24"/>
  <c r="G7" i="24"/>
  <c r="F7" i="24"/>
  <c r="H6" i="24"/>
  <c r="G6" i="24"/>
  <c r="F6" i="24"/>
  <c r="H5" i="24"/>
  <c r="G5" i="24"/>
  <c r="F5" i="24"/>
  <c r="H4" i="24"/>
  <c r="G4" i="24"/>
  <c r="F4" i="24"/>
  <c r="H3" i="24"/>
  <c r="G3" i="24"/>
  <c r="F3" i="24"/>
  <c r="H2" i="24"/>
  <c r="G2" i="24"/>
  <c r="F2" i="24"/>
  <c r="Q5" i="5"/>
  <c r="Q6" i="5" s="1"/>
  <c r="E5" i="5"/>
  <c r="F4" i="5" s="1"/>
  <c r="F5" i="5" s="1"/>
  <c r="G4" i="5" s="1"/>
  <c r="G5" i="5" s="1"/>
  <c r="H4" i="5" s="1"/>
  <c r="H5" i="5" s="1"/>
  <c r="I4" i="5" s="1"/>
  <c r="I5" i="5" s="1"/>
  <c r="J4" i="5" s="1"/>
  <c r="J5" i="5" s="1"/>
  <c r="K4" i="5" s="1"/>
  <c r="K5" i="5" s="1"/>
  <c r="L4" i="5" s="1"/>
  <c r="L5" i="5" s="1"/>
  <c r="M4" i="5" s="1"/>
  <c r="M5" i="5" s="1"/>
  <c r="N4" i="5" s="1"/>
  <c r="N5" i="5" s="1"/>
  <c r="F3" i="5"/>
  <c r="D115" i="3"/>
  <c r="D124" i="3"/>
  <c r="D113" i="3"/>
  <c r="D18" i="4"/>
  <c r="D17" i="4"/>
  <c r="V57" i="18"/>
  <c r="U57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V55" i="18"/>
  <c r="U55" i="18"/>
  <c r="H52" i="18"/>
  <c r="I52" i="18" s="1"/>
  <c r="J52" i="18" s="1"/>
  <c r="K52" i="18" s="1"/>
  <c r="L52" i="18" s="1"/>
  <c r="M52" i="18" s="1"/>
  <c r="N52" i="18" s="1"/>
  <c r="O52" i="18" s="1"/>
  <c r="P52" i="18" s="1"/>
  <c r="Q52" i="18" s="1"/>
  <c r="R52" i="18" s="1"/>
  <c r="U52" i="18" s="1"/>
  <c r="R36" i="18"/>
  <c r="Q36" i="18"/>
  <c r="P36" i="18"/>
  <c r="O36" i="18"/>
  <c r="N36" i="18"/>
  <c r="M36" i="18"/>
  <c r="L36" i="18"/>
  <c r="K36" i="18"/>
  <c r="J36" i="18"/>
  <c r="I36" i="18"/>
  <c r="H36" i="18"/>
  <c r="G36" i="18"/>
  <c r="V33" i="18"/>
  <c r="U33" i="18"/>
  <c r="H32" i="18"/>
  <c r="V32" i="18" s="1"/>
  <c r="R20" i="18"/>
  <c r="G20" i="18"/>
  <c r="G19" i="18"/>
  <c r="E5" i="18"/>
  <c r="F4" i="18" s="1"/>
  <c r="F5" i="18" s="1"/>
  <c r="G4" i="18" s="1"/>
  <c r="G5" i="18" s="1"/>
  <c r="H4" i="18" s="1"/>
  <c r="H5" i="18" s="1"/>
  <c r="I4" i="18" s="1"/>
  <c r="I5" i="18" s="1"/>
  <c r="J4" i="18" s="1"/>
  <c r="J5" i="18" s="1"/>
  <c r="K4" i="18" s="1"/>
  <c r="K5" i="18" s="1"/>
  <c r="L4" i="18" s="1"/>
  <c r="L5" i="18" s="1"/>
  <c r="M4" i="18" s="1"/>
  <c r="M5" i="18" s="1"/>
  <c r="N4" i="18" s="1"/>
  <c r="N5" i="18" s="1"/>
  <c r="O4" i="18" s="1"/>
  <c r="O5" i="18" s="1"/>
  <c r="P4" i="18" s="1"/>
  <c r="P5" i="18" s="1"/>
  <c r="Q4" i="18" s="1"/>
  <c r="Q5" i="18" s="1"/>
  <c r="R4" i="18" s="1"/>
  <c r="R5" i="18" s="1"/>
  <c r="S4" i="18" s="1"/>
  <c r="S5" i="18" s="1"/>
  <c r="F3" i="18"/>
  <c r="F43" i="12"/>
  <c r="G43" i="12" s="1"/>
  <c r="H43" i="12" s="1"/>
  <c r="F41" i="12"/>
  <c r="G41" i="12" s="1"/>
  <c r="F42" i="12"/>
  <c r="G42" i="12" s="1"/>
  <c r="H40" i="12"/>
  <c r="F40" i="12"/>
  <c r="H39" i="12"/>
  <c r="F39" i="12"/>
  <c r="H38" i="12"/>
  <c r="F38" i="12"/>
  <c r="F37" i="12"/>
  <c r="G37" i="12" s="1"/>
  <c r="F36" i="12"/>
  <c r="G36" i="12" s="1"/>
  <c r="G32" i="12"/>
  <c r="F32" i="12"/>
  <c r="I4" i="12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H3" i="12"/>
  <c r="AC35" i="16"/>
  <c r="AC38" i="16" s="1"/>
  <c r="AB35" i="16"/>
  <c r="AB38" i="16" s="1"/>
  <c r="AA35" i="16"/>
  <c r="AA38" i="16" s="1"/>
  <c r="Z35" i="16"/>
  <c r="Z38" i="16" s="1"/>
  <c r="Y35" i="16"/>
  <c r="Y38" i="16" s="1"/>
  <c r="X35" i="16"/>
  <c r="X38" i="16" s="1"/>
  <c r="W35" i="16"/>
  <c r="W38" i="16" s="1"/>
  <c r="V35" i="16"/>
  <c r="V38" i="16" s="1"/>
  <c r="AC27" i="16"/>
  <c r="AC30" i="16" s="1"/>
  <c r="AC31" i="16" s="1"/>
  <c r="AB27" i="16"/>
  <c r="AB30" i="16" s="1"/>
  <c r="AB31" i="16" s="1"/>
  <c r="AA27" i="16"/>
  <c r="AA30" i="16" s="1"/>
  <c r="AA31" i="16" s="1"/>
  <c r="Z27" i="16"/>
  <c r="Z30" i="16" s="1"/>
  <c r="Z31" i="16" s="1"/>
  <c r="Y27" i="16"/>
  <c r="Y30" i="16" s="1"/>
  <c r="Y31" i="16" s="1"/>
  <c r="X27" i="16"/>
  <c r="X30" i="16" s="1"/>
  <c r="X31" i="16" s="1"/>
  <c r="W27" i="16"/>
  <c r="W30" i="16" s="1"/>
  <c r="W31" i="16" s="1"/>
  <c r="V27" i="16"/>
  <c r="V30" i="16" s="1"/>
  <c r="V31" i="16" s="1"/>
  <c r="AC19" i="16"/>
  <c r="AB19" i="16"/>
  <c r="AA19" i="16"/>
  <c r="Z19" i="16"/>
  <c r="Y19" i="16"/>
  <c r="X19" i="16"/>
  <c r="W19" i="16"/>
  <c r="V19" i="16"/>
  <c r="U19" i="16"/>
  <c r="T19" i="16"/>
  <c r="S19" i="16"/>
  <c r="AC18" i="16"/>
  <c r="AB18" i="16"/>
  <c r="AA18" i="16"/>
  <c r="Z18" i="16"/>
  <c r="Y18" i="16"/>
  <c r="X18" i="16"/>
  <c r="W18" i="16"/>
  <c r="V18" i="16"/>
  <c r="U18" i="16"/>
  <c r="T18" i="16"/>
  <c r="S18" i="16"/>
  <c r="AK15" i="16"/>
  <c r="AJ15" i="16"/>
  <c r="AI15" i="16"/>
  <c r="AH15" i="16"/>
  <c r="AG15" i="16"/>
  <c r="AF15" i="16"/>
  <c r="AE15" i="16"/>
  <c r="AD15" i="16"/>
  <c r="AC15" i="16"/>
  <c r="AB15" i="16"/>
  <c r="AA15" i="16"/>
  <c r="Z15" i="16"/>
  <c r="Y15" i="16"/>
  <c r="X15" i="16"/>
  <c r="W15" i="16"/>
  <c r="V15" i="16"/>
  <c r="AC14" i="16"/>
  <c r="AB14" i="16"/>
  <c r="AA14" i="16"/>
  <c r="Z14" i="16"/>
  <c r="Y14" i="16"/>
  <c r="X14" i="16"/>
  <c r="W14" i="16"/>
  <c r="V14" i="16"/>
  <c r="AC9" i="16"/>
  <c r="AB9" i="16"/>
  <c r="AA9" i="16"/>
  <c r="Z9" i="16"/>
  <c r="Y9" i="16"/>
  <c r="X9" i="16"/>
  <c r="W9" i="16"/>
  <c r="V9" i="16"/>
  <c r="U9" i="16"/>
  <c r="T9" i="16"/>
  <c r="T17" i="16" s="1"/>
  <c r="S9" i="16"/>
  <c r="R9" i="16"/>
  <c r="S17" i="16" s="1"/>
  <c r="R5" i="16"/>
  <c r="R6" i="16" s="1"/>
  <c r="E5" i="16"/>
  <c r="F4" i="16" s="1"/>
  <c r="F5" i="16" s="1"/>
  <c r="G4" i="16" s="1"/>
  <c r="G5" i="16" s="1"/>
  <c r="H4" i="16" s="1"/>
  <c r="H5" i="16" s="1"/>
  <c r="I4" i="16" s="1"/>
  <c r="I5" i="16" s="1"/>
  <c r="J4" i="16" s="1"/>
  <c r="J5" i="16" s="1"/>
  <c r="K4" i="16" s="1"/>
  <c r="K5" i="16" s="1"/>
  <c r="L4" i="16" s="1"/>
  <c r="L5" i="16" s="1"/>
  <c r="M4" i="16" s="1"/>
  <c r="M5" i="16" s="1"/>
  <c r="N4" i="16" s="1"/>
  <c r="N5" i="16" s="1"/>
  <c r="F3" i="16"/>
  <c r="AC30" i="15"/>
  <c r="AC37" i="15" s="1"/>
  <c r="AC38" i="15" s="1"/>
  <c r="AB30" i="15"/>
  <c r="AB37" i="15" s="1"/>
  <c r="AA30" i="15"/>
  <c r="AA37" i="15" s="1"/>
  <c r="Z30" i="15"/>
  <c r="Z37" i="15" s="1"/>
  <c r="Y30" i="15"/>
  <c r="Y37" i="15" s="1"/>
  <c r="X30" i="15"/>
  <c r="X37" i="15" s="1"/>
  <c r="W30" i="15"/>
  <c r="W37" i="15" s="1"/>
  <c r="V30" i="15"/>
  <c r="V37" i="15" s="1"/>
  <c r="AC27" i="15"/>
  <c r="AB27" i="15"/>
  <c r="AA27" i="15"/>
  <c r="Z27" i="15"/>
  <c r="Y27" i="15"/>
  <c r="X27" i="15"/>
  <c r="W27" i="15"/>
  <c r="V27" i="15"/>
  <c r="U27" i="15"/>
  <c r="T27" i="15"/>
  <c r="S27" i="15"/>
  <c r="AC26" i="15"/>
  <c r="AB26" i="15"/>
  <c r="AA26" i="15"/>
  <c r="Z26" i="15"/>
  <c r="Y26" i="15"/>
  <c r="X26" i="15"/>
  <c r="W26" i="15"/>
  <c r="V26" i="15"/>
  <c r="U26" i="15"/>
  <c r="T26" i="15"/>
  <c r="S26" i="15"/>
  <c r="AC23" i="15"/>
  <c r="AB23" i="15"/>
  <c r="AA23" i="15"/>
  <c r="Z23" i="15"/>
  <c r="Y23" i="15"/>
  <c r="X23" i="15"/>
  <c r="W23" i="15"/>
  <c r="V23" i="15"/>
  <c r="AC22" i="15"/>
  <c r="AB22" i="15"/>
  <c r="AA22" i="15"/>
  <c r="Z22" i="15"/>
  <c r="Y22" i="15"/>
  <c r="X22" i="15"/>
  <c r="W22" i="15"/>
  <c r="V22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R5" i="15"/>
  <c r="S4" i="15" s="1"/>
  <c r="S5" i="15" s="1"/>
  <c r="E5" i="15"/>
  <c r="F4" i="15" s="1"/>
  <c r="F5" i="15" s="1"/>
  <c r="G4" i="15" s="1"/>
  <c r="G5" i="15" s="1"/>
  <c r="H4" i="15" s="1"/>
  <c r="H5" i="15" s="1"/>
  <c r="I4" i="15" s="1"/>
  <c r="I5" i="15" s="1"/>
  <c r="J4" i="15" s="1"/>
  <c r="J5" i="15" s="1"/>
  <c r="K4" i="15" s="1"/>
  <c r="K5" i="15" s="1"/>
  <c r="L4" i="15" s="1"/>
  <c r="L5" i="15" s="1"/>
  <c r="M4" i="15" s="1"/>
  <c r="M5" i="15" s="1"/>
  <c r="N4" i="15" s="1"/>
  <c r="N5" i="15" s="1"/>
  <c r="F3" i="15"/>
  <c r="AC40" i="14"/>
  <c r="AC48" i="14" s="1"/>
  <c r="AB40" i="14"/>
  <c r="AB48" i="14" s="1"/>
  <c r="AA40" i="14"/>
  <c r="AA48" i="14" s="1"/>
  <c r="Z40" i="14"/>
  <c r="Z48" i="14" s="1"/>
  <c r="Y40" i="14"/>
  <c r="Y48" i="14" s="1"/>
  <c r="X40" i="14"/>
  <c r="X48" i="14" s="1"/>
  <c r="W40" i="14"/>
  <c r="W48" i="14" s="1"/>
  <c r="V40" i="14"/>
  <c r="V48" i="14" s="1"/>
  <c r="AC36" i="14"/>
  <c r="AB36" i="14"/>
  <c r="AA36" i="14"/>
  <c r="Z36" i="14"/>
  <c r="Y36" i="14"/>
  <c r="X36" i="14"/>
  <c r="W36" i="14"/>
  <c r="V36" i="14"/>
  <c r="U36" i="14"/>
  <c r="T36" i="14"/>
  <c r="S36" i="14"/>
  <c r="AC35" i="14"/>
  <c r="AB35" i="14"/>
  <c r="AA35" i="14"/>
  <c r="Z35" i="14"/>
  <c r="Y35" i="14"/>
  <c r="X35" i="14"/>
  <c r="W35" i="14"/>
  <c r="V35" i="14"/>
  <c r="U35" i="14"/>
  <c r="T35" i="14"/>
  <c r="S35" i="14"/>
  <c r="AC34" i="14"/>
  <c r="AB34" i="14"/>
  <c r="AA34" i="14"/>
  <c r="Z34" i="14"/>
  <c r="Y34" i="14"/>
  <c r="X34" i="14"/>
  <c r="W34" i="14"/>
  <c r="V34" i="14"/>
  <c r="U34" i="14"/>
  <c r="T34" i="14"/>
  <c r="S34" i="14"/>
  <c r="AC33" i="14"/>
  <c r="AB33" i="14"/>
  <c r="AA33" i="14"/>
  <c r="Z33" i="14"/>
  <c r="Y33" i="14"/>
  <c r="X33" i="14"/>
  <c r="W33" i="14"/>
  <c r="V33" i="14"/>
  <c r="U33" i="14"/>
  <c r="T33" i="14"/>
  <c r="S33" i="14"/>
  <c r="AC28" i="14"/>
  <c r="AB28" i="14"/>
  <c r="AA28" i="14"/>
  <c r="Z28" i="14"/>
  <c r="Y28" i="14"/>
  <c r="X28" i="14"/>
  <c r="W28" i="14"/>
  <c r="V28" i="14"/>
  <c r="AC27" i="14"/>
  <c r="AB27" i="14"/>
  <c r="AA27" i="14"/>
  <c r="Z27" i="14"/>
  <c r="Y27" i="14"/>
  <c r="X27" i="14"/>
  <c r="W27" i="14"/>
  <c r="V27" i="14"/>
  <c r="AC26" i="14"/>
  <c r="AB26" i="14"/>
  <c r="AA26" i="14"/>
  <c r="Z26" i="14"/>
  <c r="Y26" i="14"/>
  <c r="X26" i="14"/>
  <c r="W26" i="14"/>
  <c r="V26" i="14"/>
  <c r="AC25" i="14"/>
  <c r="AB25" i="14"/>
  <c r="AA25" i="14"/>
  <c r="Z25" i="14"/>
  <c r="Y25" i="14"/>
  <c r="X25" i="14"/>
  <c r="W25" i="14"/>
  <c r="V25" i="14"/>
  <c r="AC16" i="14"/>
  <c r="AB16" i="14"/>
  <c r="AA16" i="14"/>
  <c r="Z16" i="14"/>
  <c r="Y16" i="14"/>
  <c r="X16" i="14"/>
  <c r="W16" i="14"/>
  <c r="V16" i="14"/>
  <c r="U16" i="14"/>
  <c r="T16" i="14"/>
  <c r="T22" i="14" s="1"/>
  <c r="S16" i="14"/>
  <c r="S22" i="14" s="1"/>
  <c r="R16" i="14"/>
  <c r="R22" i="14" s="1"/>
  <c r="R5" i="14"/>
  <c r="R6" i="14" s="1"/>
  <c r="E5" i="14"/>
  <c r="F4" i="14" s="1"/>
  <c r="F5" i="14" s="1"/>
  <c r="G4" i="14" s="1"/>
  <c r="G5" i="14" s="1"/>
  <c r="H4" i="14" s="1"/>
  <c r="H5" i="14" s="1"/>
  <c r="I4" i="14" s="1"/>
  <c r="I5" i="14" s="1"/>
  <c r="J4" i="14" s="1"/>
  <c r="J5" i="14" s="1"/>
  <c r="K4" i="14" s="1"/>
  <c r="K5" i="14" s="1"/>
  <c r="L4" i="14" s="1"/>
  <c r="L5" i="14" s="1"/>
  <c r="M4" i="14" s="1"/>
  <c r="M5" i="14" s="1"/>
  <c r="N4" i="14" s="1"/>
  <c r="N5" i="14" s="1"/>
  <c r="F3" i="14"/>
  <c r="AC35" i="13"/>
  <c r="AB35" i="13"/>
  <c r="AA35" i="13"/>
  <c r="Z35" i="13"/>
  <c r="Y35" i="13"/>
  <c r="X35" i="13"/>
  <c r="W35" i="13"/>
  <c r="V35" i="13"/>
  <c r="AC32" i="13"/>
  <c r="AB32" i="13"/>
  <c r="AA32" i="13"/>
  <c r="Z32" i="13"/>
  <c r="Y32" i="13"/>
  <c r="X32" i="13"/>
  <c r="W32" i="13"/>
  <c r="V32" i="13"/>
  <c r="AC29" i="13"/>
  <c r="AB29" i="13"/>
  <c r="AA29" i="13"/>
  <c r="Z29" i="13"/>
  <c r="Y29" i="13"/>
  <c r="X29" i="13"/>
  <c r="W29" i="13"/>
  <c r="V29" i="13"/>
  <c r="U29" i="13"/>
  <c r="T29" i="13"/>
  <c r="S29" i="13"/>
  <c r="B29" i="13"/>
  <c r="AC28" i="13"/>
  <c r="AB28" i="13"/>
  <c r="AA28" i="13"/>
  <c r="Z28" i="13"/>
  <c r="Y28" i="13"/>
  <c r="X28" i="13"/>
  <c r="W28" i="13"/>
  <c r="V28" i="13"/>
  <c r="U28" i="13"/>
  <c r="T28" i="13"/>
  <c r="S28" i="13"/>
  <c r="B28" i="13"/>
  <c r="AC27" i="13"/>
  <c r="AB27" i="13"/>
  <c r="AA27" i="13"/>
  <c r="Z27" i="13"/>
  <c r="Y27" i="13"/>
  <c r="X27" i="13"/>
  <c r="W27" i="13"/>
  <c r="V27" i="13"/>
  <c r="U27" i="13"/>
  <c r="T27" i="13"/>
  <c r="S27" i="13"/>
  <c r="B27" i="13"/>
  <c r="AC26" i="13"/>
  <c r="AB26" i="13"/>
  <c r="AA26" i="13"/>
  <c r="Z26" i="13"/>
  <c r="Y26" i="13"/>
  <c r="X26" i="13"/>
  <c r="W26" i="13"/>
  <c r="V26" i="13"/>
  <c r="U26" i="13"/>
  <c r="T26" i="13"/>
  <c r="S26" i="13"/>
  <c r="AC23" i="13"/>
  <c r="AB23" i="13"/>
  <c r="AA23" i="13"/>
  <c r="Z23" i="13"/>
  <c r="Y23" i="13"/>
  <c r="X23" i="13"/>
  <c r="W23" i="13"/>
  <c r="V23" i="13"/>
  <c r="B23" i="13"/>
  <c r="AC22" i="13"/>
  <c r="AB22" i="13"/>
  <c r="AA22" i="13"/>
  <c r="Z22" i="13"/>
  <c r="Y22" i="13"/>
  <c r="X22" i="13"/>
  <c r="W22" i="13"/>
  <c r="V22" i="13"/>
  <c r="B22" i="13"/>
  <c r="AC21" i="13"/>
  <c r="AB21" i="13"/>
  <c r="AA21" i="13"/>
  <c r="Z21" i="13"/>
  <c r="Y21" i="13"/>
  <c r="X21" i="13"/>
  <c r="W21" i="13"/>
  <c r="V21" i="13"/>
  <c r="B21" i="13"/>
  <c r="AC20" i="13"/>
  <c r="AB20" i="13"/>
  <c r="AA20" i="13"/>
  <c r="Z20" i="13"/>
  <c r="Y20" i="13"/>
  <c r="X20" i="13"/>
  <c r="W20" i="13"/>
  <c r="V20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AG15" i="13"/>
  <c r="AK15" i="13" s="1"/>
  <c r="AF15" i="13"/>
  <c r="AJ15" i="13" s="1"/>
  <c r="AE15" i="13"/>
  <c r="AI15" i="13" s="1"/>
  <c r="AD15" i="13"/>
  <c r="AD23" i="13" s="1"/>
  <c r="AC12" i="13"/>
  <c r="AB12" i="13"/>
  <c r="AA12" i="13"/>
  <c r="Z12" i="13"/>
  <c r="Y12" i="13"/>
  <c r="X12" i="13"/>
  <c r="W12" i="13"/>
  <c r="V12" i="13"/>
  <c r="U12" i="13"/>
  <c r="T12" i="13"/>
  <c r="S12" i="13"/>
  <c r="R12" i="13"/>
  <c r="R5" i="13"/>
  <c r="R6" i="13" s="1"/>
  <c r="E5" i="13"/>
  <c r="F4" i="13" s="1"/>
  <c r="F5" i="13" s="1"/>
  <c r="G4" i="13" s="1"/>
  <c r="G5" i="13" s="1"/>
  <c r="H4" i="13" s="1"/>
  <c r="H5" i="13" s="1"/>
  <c r="I4" i="13" s="1"/>
  <c r="I5" i="13" s="1"/>
  <c r="J4" i="13" s="1"/>
  <c r="J5" i="13" s="1"/>
  <c r="K4" i="13" s="1"/>
  <c r="K5" i="13" s="1"/>
  <c r="L4" i="13" s="1"/>
  <c r="L5" i="13" s="1"/>
  <c r="M4" i="13" s="1"/>
  <c r="M5" i="13" s="1"/>
  <c r="N4" i="13" s="1"/>
  <c r="N5" i="13" s="1"/>
  <c r="F3" i="13"/>
  <c r="R5" i="20"/>
  <c r="R6" i="20" s="1"/>
  <c r="E5" i="20"/>
  <c r="F4" i="20" s="1"/>
  <c r="F5" i="20" s="1"/>
  <c r="G4" i="20" s="1"/>
  <c r="G5" i="20" s="1"/>
  <c r="H4" i="20" s="1"/>
  <c r="H5" i="20" s="1"/>
  <c r="I4" i="20" s="1"/>
  <c r="I5" i="20" s="1"/>
  <c r="J4" i="20" s="1"/>
  <c r="J5" i="20" s="1"/>
  <c r="K4" i="20" s="1"/>
  <c r="K5" i="20" s="1"/>
  <c r="L4" i="20" s="1"/>
  <c r="L5" i="20" s="1"/>
  <c r="M4" i="20" s="1"/>
  <c r="M5" i="20" s="1"/>
  <c r="N4" i="20" s="1"/>
  <c r="N5" i="20" s="1"/>
  <c r="F3" i="20"/>
  <c r="AC122" i="9"/>
  <c r="AC125" i="9" s="1"/>
  <c r="AC126" i="9" s="1"/>
  <c r="AB122" i="9"/>
  <c r="AB125" i="9" s="1"/>
  <c r="AB126" i="9" s="1"/>
  <c r="AA122" i="9"/>
  <c r="AA125" i="9" s="1"/>
  <c r="AA126" i="9" s="1"/>
  <c r="Z122" i="9"/>
  <c r="Z125" i="9" s="1"/>
  <c r="Z126" i="9" s="1"/>
  <c r="Y122" i="9"/>
  <c r="Y125" i="9" s="1"/>
  <c r="Y126" i="9" s="1"/>
  <c r="X122" i="9"/>
  <c r="X125" i="9" s="1"/>
  <c r="X126" i="9" s="1"/>
  <c r="W122" i="9"/>
  <c r="W123" i="9" s="1"/>
  <c r="V122" i="9"/>
  <c r="V123" i="9" s="1"/>
  <c r="AC44" i="9"/>
  <c r="AB44" i="9"/>
  <c r="AA44" i="9"/>
  <c r="Z44" i="9"/>
  <c r="Y44" i="9"/>
  <c r="X44" i="9"/>
  <c r="W44" i="9"/>
  <c r="V44" i="9"/>
  <c r="AC40" i="9"/>
  <c r="AB40" i="9"/>
  <c r="AA40" i="9"/>
  <c r="Z40" i="9"/>
  <c r="Y40" i="9"/>
  <c r="X40" i="9"/>
  <c r="W40" i="9"/>
  <c r="V40" i="9"/>
  <c r="R5" i="9"/>
  <c r="S4" i="9" s="1"/>
  <c r="S5" i="9" s="1"/>
  <c r="E5" i="9"/>
  <c r="F4" i="9" s="1"/>
  <c r="F5" i="9" s="1"/>
  <c r="G4" i="9" s="1"/>
  <c r="G5" i="9" s="1"/>
  <c r="H4" i="9" s="1"/>
  <c r="H5" i="9" s="1"/>
  <c r="I4" i="9" s="1"/>
  <c r="I5" i="9" s="1"/>
  <c r="J4" i="9" s="1"/>
  <c r="J5" i="9" s="1"/>
  <c r="K4" i="9" s="1"/>
  <c r="K5" i="9" s="1"/>
  <c r="L4" i="9" s="1"/>
  <c r="L5" i="9" s="1"/>
  <c r="M4" i="9" s="1"/>
  <c r="M5" i="9" s="1"/>
  <c r="N4" i="9" s="1"/>
  <c r="N5" i="9" s="1"/>
  <c r="F3" i="9"/>
  <c r="M55" i="8"/>
  <c r="Q55" i="8" s="1"/>
  <c r="U55" i="8" s="1"/>
  <c r="Y55" i="8" s="1"/>
  <c r="AC55" i="8" s="1"/>
  <c r="L55" i="8"/>
  <c r="P55" i="8" s="1"/>
  <c r="T55" i="8" s="1"/>
  <c r="X55" i="8" s="1"/>
  <c r="AB55" i="8" s="1"/>
  <c r="K55" i="8"/>
  <c r="O55" i="8" s="1"/>
  <c r="S55" i="8" s="1"/>
  <c r="W55" i="8" s="1"/>
  <c r="AA55" i="8" s="1"/>
  <c r="J55" i="8"/>
  <c r="N55" i="8" s="1"/>
  <c r="R55" i="8" s="1"/>
  <c r="V55" i="8" s="1"/>
  <c r="Z55" i="8" s="1"/>
  <c r="F5" i="8"/>
  <c r="G4" i="8" s="1"/>
  <c r="G5" i="8" s="1"/>
  <c r="AD118" i="3"/>
  <c r="AE113" i="3"/>
  <c r="D107" i="3"/>
  <c r="AD101" i="3"/>
  <c r="D98" i="3"/>
  <c r="D97" i="3"/>
  <c r="D96" i="3"/>
  <c r="Y96" i="3" s="1"/>
  <c r="Y99" i="3" s="1"/>
  <c r="D92" i="3"/>
  <c r="AD86" i="3"/>
  <c r="AD84" i="3"/>
  <c r="D83" i="3"/>
  <c r="D81" i="3"/>
  <c r="D75" i="3"/>
  <c r="AD69" i="3"/>
  <c r="AC69" i="3"/>
  <c r="AB69" i="3"/>
  <c r="AA69" i="3"/>
  <c r="Z69" i="3"/>
  <c r="D66" i="3"/>
  <c r="D64" i="3"/>
  <c r="Y64" i="3" s="1"/>
  <c r="Y67" i="3" s="1"/>
  <c r="Y75" i="3" s="1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D51" i="3"/>
  <c r="D48" i="3"/>
  <c r="AD13" i="3"/>
  <c r="AC13" i="3"/>
  <c r="AB13" i="3"/>
  <c r="AA13" i="3"/>
  <c r="Z13" i="3"/>
  <c r="Y13" i="3"/>
  <c r="D9" i="3"/>
  <c r="Y5" i="3"/>
  <c r="Y3" i="3" s="1"/>
  <c r="E5" i="3"/>
  <c r="F4" i="3" s="1"/>
  <c r="F5" i="3" s="1"/>
  <c r="G4" i="3" s="1"/>
  <c r="G5" i="3" s="1"/>
  <c r="H4" i="3" s="1"/>
  <c r="H5" i="3" s="1"/>
  <c r="I4" i="3" s="1"/>
  <c r="I5" i="3" s="1"/>
  <c r="J4" i="3" s="1"/>
  <c r="J5" i="3" s="1"/>
  <c r="K4" i="3" s="1"/>
  <c r="K5" i="3" s="1"/>
  <c r="L4" i="3" s="1"/>
  <c r="L5" i="3" s="1"/>
  <c r="M4" i="3" s="1"/>
  <c r="M5" i="3" s="1"/>
  <c r="N4" i="3" s="1"/>
  <c r="N5" i="3" s="1"/>
  <c r="F3" i="3"/>
  <c r="G3" i="3" s="1"/>
  <c r="AD191" i="1"/>
  <c r="AD90" i="1" s="1"/>
  <c r="AD190" i="1"/>
  <c r="AE191" i="1" s="1"/>
  <c r="AE90" i="1" s="1"/>
  <c r="AD184" i="1"/>
  <c r="AC179" i="1"/>
  <c r="AB179" i="1"/>
  <c r="AA179" i="1"/>
  <c r="Z179" i="1"/>
  <c r="Y179" i="1"/>
  <c r="X179" i="1"/>
  <c r="W179" i="1"/>
  <c r="V179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AC168" i="1"/>
  <c r="AB168" i="1"/>
  <c r="AA168" i="1"/>
  <c r="Z168" i="1"/>
  <c r="Y168" i="1"/>
  <c r="X168" i="1"/>
  <c r="W168" i="1"/>
  <c r="V168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AE159" i="1"/>
  <c r="AF159" i="1" s="1"/>
  <c r="AG159" i="1" s="1"/>
  <c r="AH159" i="1" s="1"/>
  <c r="AI159" i="1" s="1"/>
  <c r="AJ159" i="1" s="1"/>
  <c r="AK159" i="1" s="1"/>
  <c r="AL159" i="1" s="1"/>
  <c r="AM159" i="1" s="1"/>
  <c r="AN159" i="1" s="1"/>
  <c r="AO159" i="1" s="1"/>
  <c r="AP159" i="1" s="1"/>
  <c r="AQ159" i="1" s="1"/>
  <c r="AR159" i="1" s="1"/>
  <c r="AS159" i="1" s="1"/>
  <c r="AT159" i="1" s="1"/>
  <c r="AU159" i="1" s="1"/>
  <c r="AV159" i="1" s="1"/>
  <c r="AW159" i="1" s="1"/>
  <c r="AX159" i="1" s="1"/>
  <c r="AY159" i="1" s="1"/>
  <c r="AZ159" i="1" s="1"/>
  <c r="BA159" i="1" s="1"/>
  <c r="AD158" i="1"/>
  <c r="AE158" i="1" s="1"/>
  <c r="AF158" i="1" s="1"/>
  <c r="AG158" i="1" s="1"/>
  <c r="AH158" i="1" s="1"/>
  <c r="AI158" i="1" s="1"/>
  <c r="AJ158" i="1" s="1"/>
  <c r="AK158" i="1" s="1"/>
  <c r="AL158" i="1" s="1"/>
  <c r="AM158" i="1" s="1"/>
  <c r="AN158" i="1" s="1"/>
  <c r="AO158" i="1" s="1"/>
  <c r="AP158" i="1" s="1"/>
  <c r="AD157" i="1"/>
  <c r="AE157" i="1" s="1"/>
  <c r="AF157" i="1" s="1"/>
  <c r="AG157" i="1" s="1"/>
  <c r="AH157" i="1" s="1"/>
  <c r="AI157" i="1" s="1"/>
  <c r="AJ157" i="1" s="1"/>
  <c r="AK157" i="1" s="1"/>
  <c r="AL157" i="1" s="1"/>
  <c r="AM157" i="1" s="1"/>
  <c r="AN157" i="1" s="1"/>
  <c r="AO157" i="1" s="1"/>
  <c r="AP157" i="1" s="1"/>
  <c r="AQ157" i="1" s="1"/>
  <c r="AR157" i="1" s="1"/>
  <c r="AS157" i="1" s="1"/>
  <c r="AT157" i="1" s="1"/>
  <c r="AU157" i="1" s="1"/>
  <c r="AV157" i="1" s="1"/>
  <c r="AW157" i="1" s="1"/>
  <c r="AX157" i="1" s="1"/>
  <c r="AY157" i="1" s="1"/>
  <c r="AZ157" i="1" s="1"/>
  <c r="BA157" i="1" s="1"/>
  <c r="AD156" i="1"/>
  <c r="AE156" i="1" s="1"/>
  <c r="AF156" i="1" s="1"/>
  <c r="AG156" i="1" s="1"/>
  <c r="AH156" i="1" s="1"/>
  <c r="AI156" i="1" s="1"/>
  <c r="AJ156" i="1" s="1"/>
  <c r="AK156" i="1" s="1"/>
  <c r="AL156" i="1" s="1"/>
  <c r="AM156" i="1" s="1"/>
  <c r="AN156" i="1" s="1"/>
  <c r="AO156" i="1" s="1"/>
  <c r="AP156" i="1" s="1"/>
  <c r="AQ156" i="1" s="1"/>
  <c r="AR156" i="1" s="1"/>
  <c r="AS156" i="1" s="1"/>
  <c r="AT156" i="1" s="1"/>
  <c r="AU156" i="1" s="1"/>
  <c r="AV156" i="1" s="1"/>
  <c r="AW156" i="1" s="1"/>
  <c r="AX156" i="1" s="1"/>
  <c r="AY156" i="1" s="1"/>
  <c r="AZ156" i="1" s="1"/>
  <c r="BA156" i="1" s="1"/>
  <c r="AD155" i="1"/>
  <c r="AE155" i="1" s="1"/>
  <c r="AF155" i="1" s="1"/>
  <c r="AG155" i="1" s="1"/>
  <c r="AH155" i="1" s="1"/>
  <c r="AI155" i="1" s="1"/>
  <c r="AJ155" i="1" s="1"/>
  <c r="AK155" i="1" s="1"/>
  <c r="AL155" i="1" s="1"/>
  <c r="AM155" i="1" s="1"/>
  <c r="AN155" i="1" s="1"/>
  <c r="AO155" i="1" s="1"/>
  <c r="AP155" i="1" s="1"/>
  <c r="AQ155" i="1" s="1"/>
  <c r="AR155" i="1" s="1"/>
  <c r="AS155" i="1" s="1"/>
  <c r="AT155" i="1" s="1"/>
  <c r="AU155" i="1" s="1"/>
  <c r="AV155" i="1" s="1"/>
  <c r="AW155" i="1" s="1"/>
  <c r="AX155" i="1" s="1"/>
  <c r="AY155" i="1" s="1"/>
  <c r="AZ155" i="1" s="1"/>
  <c r="BA155" i="1" s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AD151" i="1"/>
  <c r="AE151" i="1" s="1"/>
  <c r="AF151" i="1" s="1"/>
  <c r="AG151" i="1" s="1"/>
  <c r="AH151" i="1" s="1"/>
  <c r="AI151" i="1" s="1"/>
  <c r="AJ151" i="1" s="1"/>
  <c r="AK151" i="1" s="1"/>
  <c r="AL151" i="1" s="1"/>
  <c r="AM151" i="1" s="1"/>
  <c r="AN151" i="1" s="1"/>
  <c r="AO151" i="1" s="1"/>
  <c r="AP151" i="1" s="1"/>
  <c r="AQ151" i="1" s="1"/>
  <c r="AR151" i="1" s="1"/>
  <c r="AS151" i="1" s="1"/>
  <c r="AT151" i="1" s="1"/>
  <c r="AU151" i="1" s="1"/>
  <c r="AV151" i="1" s="1"/>
  <c r="AW151" i="1" s="1"/>
  <c r="AX151" i="1" s="1"/>
  <c r="AY151" i="1" s="1"/>
  <c r="AZ151" i="1" s="1"/>
  <c r="BA151" i="1" s="1"/>
  <c r="AD150" i="1"/>
  <c r="AE150" i="1" s="1"/>
  <c r="AF150" i="1" s="1"/>
  <c r="AG150" i="1" s="1"/>
  <c r="AH150" i="1" s="1"/>
  <c r="AI150" i="1" s="1"/>
  <c r="AJ150" i="1" s="1"/>
  <c r="AK150" i="1" s="1"/>
  <c r="AL150" i="1" s="1"/>
  <c r="AM150" i="1" s="1"/>
  <c r="AN150" i="1" s="1"/>
  <c r="AO150" i="1" s="1"/>
  <c r="AP150" i="1" s="1"/>
  <c r="AQ150" i="1" s="1"/>
  <c r="AR150" i="1" s="1"/>
  <c r="AS150" i="1" s="1"/>
  <c r="AT150" i="1" s="1"/>
  <c r="AU150" i="1" s="1"/>
  <c r="AV150" i="1" s="1"/>
  <c r="AW150" i="1" s="1"/>
  <c r="AX150" i="1" s="1"/>
  <c r="AY150" i="1" s="1"/>
  <c r="AZ150" i="1" s="1"/>
  <c r="BA150" i="1" s="1"/>
  <c r="AD149" i="1"/>
  <c r="AE149" i="1" s="1"/>
  <c r="AF149" i="1" s="1"/>
  <c r="AG149" i="1" s="1"/>
  <c r="AH149" i="1" s="1"/>
  <c r="AI149" i="1" s="1"/>
  <c r="AJ149" i="1" s="1"/>
  <c r="AK149" i="1" s="1"/>
  <c r="AL149" i="1" s="1"/>
  <c r="AM149" i="1" s="1"/>
  <c r="AN149" i="1" s="1"/>
  <c r="AO149" i="1" s="1"/>
  <c r="AP149" i="1" s="1"/>
  <c r="AQ149" i="1" s="1"/>
  <c r="AR149" i="1" s="1"/>
  <c r="AS149" i="1" s="1"/>
  <c r="AT149" i="1" s="1"/>
  <c r="AU149" i="1" s="1"/>
  <c r="AV149" i="1" s="1"/>
  <c r="AW149" i="1" s="1"/>
  <c r="AX149" i="1" s="1"/>
  <c r="AY149" i="1" s="1"/>
  <c r="AZ149" i="1" s="1"/>
  <c r="BA149" i="1" s="1"/>
  <c r="AD148" i="1"/>
  <c r="AE148" i="1" s="1"/>
  <c r="AF148" i="1" s="1"/>
  <c r="AG148" i="1" s="1"/>
  <c r="AH148" i="1" s="1"/>
  <c r="AI148" i="1" s="1"/>
  <c r="AJ148" i="1" s="1"/>
  <c r="AK148" i="1" s="1"/>
  <c r="AL148" i="1" s="1"/>
  <c r="AM148" i="1" s="1"/>
  <c r="AN148" i="1" s="1"/>
  <c r="AO148" i="1" s="1"/>
  <c r="AP148" i="1" s="1"/>
  <c r="AQ148" i="1" s="1"/>
  <c r="AR148" i="1" s="1"/>
  <c r="AS148" i="1" s="1"/>
  <c r="AT148" i="1" s="1"/>
  <c r="AU148" i="1" s="1"/>
  <c r="AV148" i="1" s="1"/>
  <c r="AW148" i="1" s="1"/>
  <c r="AX148" i="1" s="1"/>
  <c r="AY148" i="1" s="1"/>
  <c r="AZ148" i="1" s="1"/>
  <c r="BA148" i="1" s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AD144" i="1"/>
  <c r="AE144" i="1" s="1"/>
  <c r="AF144" i="1" s="1"/>
  <c r="AG144" i="1" s="1"/>
  <c r="AH144" i="1" s="1"/>
  <c r="AI144" i="1" s="1"/>
  <c r="AJ144" i="1" s="1"/>
  <c r="AK144" i="1" s="1"/>
  <c r="AL144" i="1" s="1"/>
  <c r="AM144" i="1" s="1"/>
  <c r="AN144" i="1" s="1"/>
  <c r="AO144" i="1" s="1"/>
  <c r="AP144" i="1" s="1"/>
  <c r="AQ144" i="1" s="1"/>
  <c r="AR144" i="1" s="1"/>
  <c r="AS144" i="1" s="1"/>
  <c r="AT144" i="1" s="1"/>
  <c r="AU144" i="1" s="1"/>
  <c r="AV144" i="1" s="1"/>
  <c r="AW144" i="1" s="1"/>
  <c r="AX144" i="1" s="1"/>
  <c r="AY144" i="1" s="1"/>
  <c r="AZ144" i="1" s="1"/>
  <c r="BA144" i="1" s="1"/>
  <c r="AD143" i="1"/>
  <c r="AE143" i="1" s="1"/>
  <c r="AF143" i="1" s="1"/>
  <c r="AG143" i="1" s="1"/>
  <c r="AH143" i="1" s="1"/>
  <c r="AI143" i="1" s="1"/>
  <c r="AJ143" i="1" s="1"/>
  <c r="AK143" i="1" s="1"/>
  <c r="AL143" i="1" s="1"/>
  <c r="AM143" i="1" s="1"/>
  <c r="AN143" i="1" s="1"/>
  <c r="AO143" i="1" s="1"/>
  <c r="AP143" i="1" s="1"/>
  <c r="AQ143" i="1" s="1"/>
  <c r="AR143" i="1" s="1"/>
  <c r="AS143" i="1" s="1"/>
  <c r="AT143" i="1" s="1"/>
  <c r="AU143" i="1" s="1"/>
  <c r="AV143" i="1" s="1"/>
  <c r="AW143" i="1" s="1"/>
  <c r="AX143" i="1" s="1"/>
  <c r="AY143" i="1" s="1"/>
  <c r="AZ143" i="1" s="1"/>
  <c r="BA143" i="1" s="1"/>
  <c r="AD142" i="1"/>
  <c r="AE142" i="1" s="1"/>
  <c r="AF142" i="1" s="1"/>
  <c r="AG142" i="1" s="1"/>
  <c r="AH142" i="1" s="1"/>
  <c r="AI142" i="1" s="1"/>
  <c r="AJ142" i="1" s="1"/>
  <c r="AK142" i="1" s="1"/>
  <c r="AL142" i="1" s="1"/>
  <c r="AM142" i="1" s="1"/>
  <c r="AN142" i="1" s="1"/>
  <c r="AO142" i="1" s="1"/>
  <c r="AP142" i="1" s="1"/>
  <c r="AQ142" i="1" s="1"/>
  <c r="AR142" i="1" s="1"/>
  <c r="AS142" i="1" s="1"/>
  <c r="AT142" i="1" s="1"/>
  <c r="AU142" i="1" s="1"/>
  <c r="AV142" i="1" s="1"/>
  <c r="AW142" i="1" s="1"/>
  <c r="AX142" i="1" s="1"/>
  <c r="AY142" i="1" s="1"/>
  <c r="AZ142" i="1" s="1"/>
  <c r="BA142" i="1" s="1"/>
  <c r="AD141" i="1"/>
  <c r="AE141" i="1" s="1"/>
  <c r="AF141" i="1" s="1"/>
  <c r="AG141" i="1" s="1"/>
  <c r="AH141" i="1" s="1"/>
  <c r="AI141" i="1" s="1"/>
  <c r="AJ141" i="1" s="1"/>
  <c r="AK141" i="1" s="1"/>
  <c r="AL141" i="1" s="1"/>
  <c r="AM141" i="1" s="1"/>
  <c r="AN141" i="1" s="1"/>
  <c r="AO141" i="1" s="1"/>
  <c r="AP141" i="1" s="1"/>
  <c r="AQ141" i="1" s="1"/>
  <c r="AR141" i="1" s="1"/>
  <c r="AS141" i="1" s="1"/>
  <c r="AT141" i="1" s="1"/>
  <c r="AU141" i="1" s="1"/>
  <c r="AV141" i="1" s="1"/>
  <c r="AW141" i="1" s="1"/>
  <c r="AX141" i="1" s="1"/>
  <c r="AY141" i="1" s="1"/>
  <c r="AZ141" i="1" s="1"/>
  <c r="BA141" i="1" s="1"/>
  <c r="AD140" i="1"/>
  <c r="AE140" i="1" s="1"/>
  <c r="AF140" i="1" s="1"/>
  <c r="AG140" i="1" s="1"/>
  <c r="AH140" i="1" s="1"/>
  <c r="AI140" i="1" s="1"/>
  <c r="AJ140" i="1" s="1"/>
  <c r="AK140" i="1" s="1"/>
  <c r="AL140" i="1" s="1"/>
  <c r="AM140" i="1" s="1"/>
  <c r="AN140" i="1" s="1"/>
  <c r="AO140" i="1" s="1"/>
  <c r="AP140" i="1" s="1"/>
  <c r="AQ140" i="1" s="1"/>
  <c r="AR140" i="1" s="1"/>
  <c r="AS140" i="1" s="1"/>
  <c r="AT140" i="1" s="1"/>
  <c r="AU140" i="1" s="1"/>
  <c r="AV140" i="1" s="1"/>
  <c r="AW140" i="1" s="1"/>
  <c r="AX140" i="1" s="1"/>
  <c r="AY140" i="1" s="1"/>
  <c r="AZ140" i="1" s="1"/>
  <c r="BA140" i="1" s="1"/>
  <c r="AD139" i="1"/>
  <c r="AE139" i="1" s="1"/>
  <c r="AF139" i="1" s="1"/>
  <c r="AG139" i="1" s="1"/>
  <c r="AH139" i="1" s="1"/>
  <c r="AI139" i="1" s="1"/>
  <c r="AJ139" i="1" s="1"/>
  <c r="AK139" i="1" s="1"/>
  <c r="AL139" i="1" s="1"/>
  <c r="AM139" i="1" s="1"/>
  <c r="AN139" i="1" s="1"/>
  <c r="AO139" i="1" s="1"/>
  <c r="AP139" i="1" s="1"/>
  <c r="AQ139" i="1" s="1"/>
  <c r="AR139" i="1" s="1"/>
  <c r="AS139" i="1" s="1"/>
  <c r="AT139" i="1" s="1"/>
  <c r="AU139" i="1" s="1"/>
  <c r="AV139" i="1" s="1"/>
  <c r="AW139" i="1" s="1"/>
  <c r="AX139" i="1" s="1"/>
  <c r="AY139" i="1" s="1"/>
  <c r="AZ139" i="1" s="1"/>
  <c r="BA139" i="1" s="1"/>
  <c r="AD138" i="1"/>
  <c r="AE138" i="1" s="1"/>
  <c r="AF138" i="1" s="1"/>
  <c r="AG138" i="1" s="1"/>
  <c r="AH138" i="1" s="1"/>
  <c r="AI138" i="1" s="1"/>
  <c r="AJ138" i="1" s="1"/>
  <c r="AK138" i="1" s="1"/>
  <c r="AL138" i="1" s="1"/>
  <c r="AM138" i="1" s="1"/>
  <c r="AN138" i="1" s="1"/>
  <c r="AO138" i="1" s="1"/>
  <c r="AP138" i="1" s="1"/>
  <c r="AQ138" i="1" s="1"/>
  <c r="AR138" i="1" s="1"/>
  <c r="AS138" i="1" s="1"/>
  <c r="AT138" i="1" s="1"/>
  <c r="AU138" i="1" s="1"/>
  <c r="AV138" i="1" s="1"/>
  <c r="AW138" i="1" s="1"/>
  <c r="AX138" i="1" s="1"/>
  <c r="AY138" i="1" s="1"/>
  <c r="AZ138" i="1" s="1"/>
  <c r="BA138" i="1" s="1"/>
  <c r="AD137" i="1"/>
  <c r="AE137" i="1" s="1"/>
  <c r="AF137" i="1" s="1"/>
  <c r="AG137" i="1" s="1"/>
  <c r="AH137" i="1" s="1"/>
  <c r="AI137" i="1" s="1"/>
  <c r="AJ137" i="1" s="1"/>
  <c r="AK137" i="1" s="1"/>
  <c r="AL137" i="1" s="1"/>
  <c r="AM137" i="1" s="1"/>
  <c r="AN137" i="1" s="1"/>
  <c r="AO137" i="1" s="1"/>
  <c r="AP137" i="1" s="1"/>
  <c r="AQ137" i="1" s="1"/>
  <c r="AR137" i="1" s="1"/>
  <c r="AS137" i="1" s="1"/>
  <c r="AT137" i="1" s="1"/>
  <c r="AU137" i="1" s="1"/>
  <c r="AV137" i="1" s="1"/>
  <c r="AW137" i="1" s="1"/>
  <c r="AX137" i="1" s="1"/>
  <c r="AY137" i="1" s="1"/>
  <c r="AZ137" i="1" s="1"/>
  <c r="BA137" i="1" s="1"/>
  <c r="AD136" i="1"/>
  <c r="AE136" i="1" s="1"/>
  <c r="AF136" i="1" s="1"/>
  <c r="AG136" i="1" s="1"/>
  <c r="AH136" i="1" s="1"/>
  <c r="AI136" i="1" s="1"/>
  <c r="AJ136" i="1" s="1"/>
  <c r="AK136" i="1" s="1"/>
  <c r="AL136" i="1" s="1"/>
  <c r="AM136" i="1" s="1"/>
  <c r="AN136" i="1" s="1"/>
  <c r="AO136" i="1" s="1"/>
  <c r="AP136" i="1" s="1"/>
  <c r="AQ136" i="1" s="1"/>
  <c r="AR136" i="1" s="1"/>
  <c r="AS136" i="1" s="1"/>
  <c r="AT136" i="1" s="1"/>
  <c r="AU136" i="1" s="1"/>
  <c r="AV136" i="1" s="1"/>
  <c r="AW136" i="1" s="1"/>
  <c r="AX136" i="1" s="1"/>
  <c r="AY136" i="1" s="1"/>
  <c r="AZ136" i="1" s="1"/>
  <c r="BA136" i="1" s="1"/>
  <c r="AD134" i="1"/>
  <c r="AE134" i="1" s="1"/>
  <c r="AF134" i="1" s="1"/>
  <c r="AG134" i="1" s="1"/>
  <c r="AH134" i="1" s="1"/>
  <c r="AI134" i="1" s="1"/>
  <c r="AJ134" i="1" s="1"/>
  <c r="AK134" i="1" s="1"/>
  <c r="AL134" i="1" s="1"/>
  <c r="AM134" i="1" s="1"/>
  <c r="AN134" i="1" s="1"/>
  <c r="AO134" i="1" s="1"/>
  <c r="AP134" i="1" s="1"/>
  <c r="AQ134" i="1" s="1"/>
  <c r="AR134" i="1" s="1"/>
  <c r="AS134" i="1" s="1"/>
  <c r="AT134" i="1" s="1"/>
  <c r="AU134" i="1" s="1"/>
  <c r="AV134" i="1" s="1"/>
  <c r="AW134" i="1" s="1"/>
  <c r="AX134" i="1" s="1"/>
  <c r="AY134" i="1" s="1"/>
  <c r="AZ134" i="1" s="1"/>
  <c r="BA134" i="1" s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AD127" i="1"/>
  <c r="AE127" i="1" s="1"/>
  <c r="AF127" i="1" s="1"/>
  <c r="AG127" i="1" s="1"/>
  <c r="AH127" i="1" s="1"/>
  <c r="AI127" i="1" s="1"/>
  <c r="AJ127" i="1" s="1"/>
  <c r="AK127" i="1" s="1"/>
  <c r="AL127" i="1" s="1"/>
  <c r="AM127" i="1" s="1"/>
  <c r="AN127" i="1" s="1"/>
  <c r="AO127" i="1" s="1"/>
  <c r="AP127" i="1" s="1"/>
  <c r="AQ127" i="1" s="1"/>
  <c r="AR127" i="1" s="1"/>
  <c r="AS127" i="1" s="1"/>
  <c r="AT127" i="1" s="1"/>
  <c r="AU127" i="1" s="1"/>
  <c r="AV127" i="1" s="1"/>
  <c r="AW127" i="1" s="1"/>
  <c r="AX127" i="1" s="1"/>
  <c r="AY127" i="1" s="1"/>
  <c r="AZ127" i="1" s="1"/>
  <c r="BA127" i="1" s="1"/>
  <c r="AD126" i="1"/>
  <c r="AE126" i="1" s="1"/>
  <c r="AF126" i="1" s="1"/>
  <c r="AG126" i="1" s="1"/>
  <c r="AH126" i="1" s="1"/>
  <c r="AI126" i="1" s="1"/>
  <c r="AJ126" i="1" s="1"/>
  <c r="AK126" i="1" s="1"/>
  <c r="AL126" i="1" s="1"/>
  <c r="AM126" i="1" s="1"/>
  <c r="AN126" i="1" s="1"/>
  <c r="AO126" i="1" s="1"/>
  <c r="AP126" i="1" s="1"/>
  <c r="AQ126" i="1" s="1"/>
  <c r="AR126" i="1" s="1"/>
  <c r="AS126" i="1" s="1"/>
  <c r="AT126" i="1" s="1"/>
  <c r="AU126" i="1" s="1"/>
  <c r="AV126" i="1" s="1"/>
  <c r="AW126" i="1" s="1"/>
  <c r="AX126" i="1" s="1"/>
  <c r="AY126" i="1" s="1"/>
  <c r="AZ126" i="1" s="1"/>
  <c r="BA126" i="1" s="1"/>
  <c r="AD124" i="1"/>
  <c r="AE124" i="1" s="1"/>
  <c r="AF124" i="1" s="1"/>
  <c r="AG124" i="1" s="1"/>
  <c r="AH124" i="1" s="1"/>
  <c r="AI124" i="1" s="1"/>
  <c r="AJ124" i="1" s="1"/>
  <c r="AK124" i="1" s="1"/>
  <c r="AL124" i="1" s="1"/>
  <c r="AM124" i="1" s="1"/>
  <c r="AN124" i="1" s="1"/>
  <c r="AO124" i="1" s="1"/>
  <c r="AP124" i="1" s="1"/>
  <c r="AQ124" i="1" s="1"/>
  <c r="AR124" i="1" s="1"/>
  <c r="AS124" i="1" s="1"/>
  <c r="AT124" i="1" s="1"/>
  <c r="AU124" i="1" s="1"/>
  <c r="AV124" i="1" s="1"/>
  <c r="AW124" i="1" s="1"/>
  <c r="AX124" i="1" s="1"/>
  <c r="AY124" i="1" s="1"/>
  <c r="AZ124" i="1" s="1"/>
  <c r="BA124" i="1" s="1"/>
  <c r="AD123" i="1"/>
  <c r="AE123" i="1" s="1"/>
  <c r="AF123" i="1" s="1"/>
  <c r="AG123" i="1" s="1"/>
  <c r="AH123" i="1" s="1"/>
  <c r="AI123" i="1" s="1"/>
  <c r="AJ123" i="1" s="1"/>
  <c r="AK123" i="1" s="1"/>
  <c r="AL123" i="1" s="1"/>
  <c r="AM123" i="1" s="1"/>
  <c r="AN123" i="1" s="1"/>
  <c r="AO123" i="1" s="1"/>
  <c r="AP123" i="1" s="1"/>
  <c r="AQ123" i="1" s="1"/>
  <c r="AR123" i="1" s="1"/>
  <c r="AS123" i="1" s="1"/>
  <c r="AT123" i="1" s="1"/>
  <c r="AU123" i="1" s="1"/>
  <c r="AV123" i="1" s="1"/>
  <c r="AW123" i="1" s="1"/>
  <c r="AX123" i="1" s="1"/>
  <c r="AY123" i="1" s="1"/>
  <c r="AZ123" i="1" s="1"/>
  <c r="BA123" i="1" s="1"/>
  <c r="AD122" i="1"/>
  <c r="AE122" i="1" s="1"/>
  <c r="AF122" i="1" s="1"/>
  <c r="AG122" i="1" s="1"/>
  <c r="AH122" i="1" s="1"/>
  <c r="AI122" i="1" s="1"/>
  <c r="AJ122" i="1" s="1"/>
  <c r="AK122" i="1" s="1"/>
  <c r="AL122" i="1" s="1"/>
  <c r="AM122" i="1" s="1"/>
  <c r="AN122" i="1" s="1"/>
  <c r="AO122" i="1" s="1"/>
  <c r="AP122" i="1" s="1"/>
  <c r="AQ122" i="1" s="1"/>
  <c r="AR122" i="1" s="1"/>
  <c r="AS122" i="1" s="1"/>
  <c r="AT122" i="1" s="1"/>
  <c r="AU122" i="1" s="1"/>
  <c r="AV122" i="1" s="1"/>
  <c r="AW122" i="1" s="1"/>
  <c r="AX122" i="1" s="1"/>
  <c r="AY122" i="1" s="1"/>
  <c r="AZ122" i="1" s="1"/>
  <c r="BA122" i="1" s="1"/>
  <c r="AD121" i="1"/>
  <c r="AE121" i="1" s="1"/>
  <c r="AF121" i="1" s="1"/>
  <c r="AG121" i="1" s="1"/>
  <c r="AH121" i="1" s="1"/>
  <c r="AI121" i="1" s="1"/>
  <c r="AJ121" i="1" s="1"/>
  <c r="AK121" i="1" s="1"/>
  <c r="AL121" i="1" s="1"/>
  <c r="AM121" i="1" s="1"/>
  <c r="AN121" i="1" s="1"/>
  <c r="AO121" i="1" s="1"/>
  <c r="AP121" i="1" s="1"/>
  <c r="AQ121" i="1" s="1"/>
  <c r="AR121" i="1" s="1"/>
  <c r="AS121" i="1" s="1"/>
  <c r="AT121" i="1" s="1"/>
  <c r="AU121" i="1" s="1"/>
  <c r="AV121" i="1" s="1"/>
  <c r="AW121" i="1" s="1"/>
  <c r="AX121" i="1" s="1"/>
  <c r="AY121" i="1" s="1"/>
  <c r="AZ121" i="1" s="1"/>
  <c r="BA121" i="1" s="1"/>
  <c r="AD120" i="1"/>
  <c r="AE120" i="1" s="1"/>
  <c r="AF120" i="1" s="1"/>
  <c r="AG120" i="1" s="1"/>
  <c r="AH120" i="1" s="1"/>
  <c r="AI120" i="1" s="1"/>
  <c r="AJ120" i="1" s="1"/>
  <c r="AK120" i="1" s="1"/>
  <c r="AL120" i="1" s="1"/>
  <c r="AM120" i="1" s="1"/>
  <c r="AN120" i="1" s="1"/>
  <c r="AO120" i="1" s="1"/>
  <c r="AP120" i="1" s="1"/>
  <c r="AQ120" i="1" s="1"/>
  <c r="AR120" i="1" s="1"/>
  <c r="AS120" i="1" s="1"/>
  <c r="AT120" i="1" s="1"/>
  <c r="AU120" i="1" s="1"/>
  <c r="AV120" i="1" s="1"/>
  <c r="AW120" i="1" s="1"/>
  <c r="AX120" i="1" s="1"/>
  <c r="AY120" i="1" s="1"/>
  <c r="AZ120" i="1" s="1"/>
  <c r="BA120" i="1" s="1"/>
  <c r="AD119" i="1"/>
  <c r="AE119" i="1" s="1"/>
  <c r="AF119" i="1" s="1"/>
  <c r="AG119" i="1" s="1"/>
  <c r="AH119" i="1" s="1"/>
  <c r="AI119" i="1" s="1"/>
  <c r="AJ119" i="1" s="1"/>
  <c r="AK119" i="1" s="1"/>
  <c r="AL119" i="1" s="1"/>
  <c r="AM119" i="1" s="1"/>
  <c r="AN119" i="1" s="1"/>
  <c r="AO119" i="1" s="1"/>
  <c r="AP119" i="1" s="1"/>
  <c r="AQ119" i="1" s="1"/>
  <c r="AR119" i="1" s="1"/>
  <c r="AS119" i="1" s="1"/>
  <c r="AT119" i="1" s="1"/>
  <c r="AU119" i="1" s="1"/>
  <c r="AV119" i="1" s="1"/>
  <c r="AW119" i="1" s="1"/>
  <c r="AX119" i="1" s="1"/>
  <c r="AY119" i="1" s="1"/>
  <c r="AZ119" i="1" s="1"/>
  <c r="BA119" i="1" s="1"/>
  <c r="AD118" i="1"/>
  <c r="AE118" i="1" s="1"/>
  <c r="AF118" i="1" s="1"/>
  <c r="AG118" i="1" s="1"/>
  <c r="AH118" i="1" s="1"/>
  <c r="AI118" i="1" s="1"/>
  <c r="AJ118" i="1" s="1"/>
  <c r="AK118" i="1" s="1"/>
  <c r="AL118" i="1" s="1"/>
  <c r="AM118" i="1" s="1"/>
  <c r="AN118" i="1" s="1"/>
  <c r="AO118" i="1" s="1"/>
  <c r="AP118" i="1" s="1"/>
  <c r="AQ118" i="1" s="1"/>
  <c r="AR118" i="1" s="1"/>
  <c r="AS118" i="1" s="1"/>
  <c r="AT118" i="1" s="1"/>
  <c r="AU118" i="1" s="1"/>
  <c r="AV118" i="1" s="1"/>
  <c r="AW118" i="1" s="1"/>
  <c r="AX118" i="1" s="1"/>
  <c r="AY118" i="1" s="1"/>
  <c r="AZ118" i="1" s="1"/>
  <c r="BA118" i="1" s="1"/>
  <c r="AD117" i="1"/>
  <c r="AE117" i="1" s="1"/>
  <c r="AF117" i="1" s="1"/>
  <c r="AG117" i="1" s="1"/>
  <c r="AH117" i="1" s="1"/>
  <c r="AI117" i="1" s="1"/>
  <c r="AJ117" i="1" s="1"/>
  <c r="AK117" i="1" s="1"/>
  <c r="AL117" i="1" s="1"/>
  <c r="AM117" i="1" s="1"/>
  <c r="AN117" i="1" s="1"/>
  <c r="AO117" i="1" s="1"/>
  <c r="AP117" i="1" s="1"/>
  <c r="AQ117" i="1" s="1"/>
  <c r="AR117" i="1" s="1"/>
  <c r="AS117" i="1" s="1"/>
  <c r="AT117" i="1" s="1"/>
  <c r="AU117" i="1" s="1"/>
  <c r="AV117" i="1" s="1"/>
  <c r="AW117" i="1" s="1"/>
  <c r="AX117" i="1" s="1"/>
  <c r="AY117" i="1" s="1"/>
  <c r="AZ117" i="1" s="1"/>
  <c r="BA117" i="1" s="1"/>
  <c r="AD116" i="1"/>
  <c r="AE116" i="1" s="1"/>
  <c r="AF116" i="1" s="1"/>
  <c r="AG116" i="1" s="1"/>
  <c r="AH116" i="1" s="1"/>
  <c r="AI116" i="1" s="1"/>
  <c r="AJ116" i="1" s="1"/>
  <c r="AK116" i="1" s="1"/>
  <c r="AL116" i="1" s="1"/>
  <c r="AM116" i="1" s="1"/>
  <c r="AN116" i="1" s="1"/>
  <c r="AO116" i="1" s="1"/>
  <c r="AP116" i="1" s="1"/>
  <c r="AQ116" i="1" s="1"/>
  <c r="AR116" i="1" s="1"/>
  <c r="AS116" i="1" s="1"/>
  <c r="AT116" i="1" s="1"/>
  <c r="AU116" i="1" s="1"/>
  <c r="AV116" i="1" s="1"/>
  <c r="AW116" i="1" s="1"/>
  <c r="AX116" i="1" s="1"/>
  <c r="AY116" i="1" s="1"/>
  <c r="AZ116" i="1" s="1"/>
  <c r="BA116" i="1" s="1"/>
  <c r="AD115" i="1"/>
  <c r="AE115" i="1" s="1"/>
  <c r="AF115" i="1" s="1"/>
  <c r="AG115" i="1" s="1"/>
  <c r="AH115" i="1" s="1"/>
  <c r="AI115" i="1" s="1"/>
  <c r="AJ115" i="1" s="1"/>
  <c r="AK115" i="1" s="1"/>
  <c r="AL115" i="1" s="1"/>
  <c r="AM115" i="1" s="1"/>
  <c r="AN115" i="1" s="1"/>
  <c r="AO115" i="1" s="1"/>
  <c r="AP115" i="1" s="1"/>
  <c r="AQ115" i="1" s="1"/>
  <c r="AR115" i="1" s="1"/>
  <c r="AS115" i="1" s="1"/>
  <c r="AT115" i="1" s="1"/>
  <c r="AU115" i="1" s="1"/>
  <c r="AV115" i="1" s="1"/>
  <c r="AW115" i="1" s="1"/>
  <c r="AX115" i="1" s="1"/>
  <c r="AY115" i="1" s="1"/>
  <c r="AZ115" i="1" s="1"/>
  <c r="BA115" i="1" s="1"/>
  <c r="AD114" i="1"/>
  <c r="AE114" i="1" s="1"/>
  <c r="AF114" i="1" s="1"/>
  <c r="AG114" i="1" s="1"/>
  <c r="AH114" i="1" s="1"/>
  <c r="AI114" i="1" s="1"/>
  <c r="AJ114" i="1" s="1"/>
  <c r="AK114" i="1" s="1"/>
  <c r="AL114" i="1" s="1"/>
  <c r="AM114" i="1" s="1"/>
  <c r="AN114" i="1" s="1"/>
  <c r="AO114" i="1" s="1"/>
  <c r="AP114" i="1" s="1"/>
  <c r="AQ114" i="1" s="1"/>
  <c r="AR114" i="1" s="1"/>
  <c r="AS114" i="1" s="1"/>
  <c r="AT114" i="1" s="1"/>
  <c r="AU114" i="1" s="1"/>
  <c r="AV114" i="1" s="1"/>
  <c r="AW114" i="1" s="1"/>
  <c r="AX114" i="1" s="1"/>
  <c r="AY114" i="1" s="1"/>
  <c r="AZ114" i="1" s="1"/>
  <c r="BA114" i="1" s="1"/>
  <c r="AD113" i="1"/>
  <c r="AE113" i="1" s="1"/>
  <c r="AF113" i="1" s="1"/>
  <c r="AG113" i="1" s="1"/>
  <c r="AH113" i="1" s="1"/>
  <c r="AI113" i="1" s="1"/>
  <c r="AJ113" i="1" s="1"/>
  <c r="AK113" i="1" s="1"/>
  <c r="AL113" i="1" s="1"/>
  <c r="AM113" i="1" s="1"/>
  <c r="AN113" i="1" s="1"/>
  <c r="AO113" i="1" s="1"/>
  <c r="AP113" i="1" s="1"/>
  <c r="AQ113" i="1" s="1"/>
  <c r="AR113" i="1" s="1"/>
  <c r="AS113" i="1" s="1"/>
  <c r="AT113" i="1" s="1"/>
  <c r="AU113" i="1" s="1"/>
  <c r="AV113" i="1" s="1"/>
  <c r="AW113" i="1" s="1"/>
  <c r="AX113" i="1" s="1"/>
  <c r="AY113" i="1" s="1"/>
  <c r="AZ113" i="1" s="1"/>
  <c r="BA113" i="1" s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AD110" i="1"/>
  <c r="AE110" i="1" s="1"/>
  <c r="AF110" i="1" s="1"/>
  <c r="AG110" i="1" s="1"/>
  <c r="AH110" i="1" s="1"/>
  <c r="AI110" i="1" s="1"/>
  <c r="AJ110" i="1" s="1"/>
  <c r="AK110" i="1" s="1"/>
  <c r="AL110" i="1" s="1"/>
  <c r="AM110" i="1" s="1"/>
  <c r="AN110" i="1" s="1"/>
  <c r="AO110" i="1" s="1"/>
  <c r="AP110" i="1" s="1"/>
  <c r="AQ110" i="1" s="1"/>
  <c r="AR110" i="1" s="1"/>
  <c r="AS110" i="1" s="1"/>
  <c r="AT110" i="1" s="1"/>
  <c r="AU110" i="1" s="1"/>
  <c r="AV110" i="1" s="1"/>
  <c r="AW110" i="1" s="1"/>
  <c r="AX110" i="1" s="1"/>
  <c r="AY110" i="1" s="1"/>
  <c r="AZ110" i="1" s="1"/>
  <c r="BA110" i="1" s="1"/>
  <c r="AD109" i="1"/>
  <c r="AE109" i="1" s="1"/>
  <c r="AF109" i="1" s="1"/>
  <c r="AG109" i="1" s="1"/>
  <c r="AH109" i="1" s="1"/>
  <c r="AI109" i="1" s="1"/>
  <c r="AJ109" i="1" s="1"/>
  <c r="AK109" i="1" s="1"/>
  <c r="AL109" i="1" s="1"/>
  <c r="AM109" i="1" s="1"/>
  <c r="AN109" i="1" s="1"/>
  <c r="AO109" i="1" s="1"/>
  <c r="AP109" i="1" s="1"/>
  <c r="AQ109" i="1" s="1"/>
  <c r="AR109" i="1" s="1"/>
  <c r="AS109" i="1" s="1"/>
  <c r="AT109" i="1" s="1"/>
  <c r="AU109" i="1" s="1"/>
  <c r="AV109" i="1" s="1"/>
  <c r="AW109" i="1" s="1"/>
  <c r="AX109" i="1" s="1"/>
  <c r="AY109" i="1" s="1"/>
  <c r="AZ109" i="1" s="1"/>
  <c r="BA109" i="1" s="1"/>
  <c r="AD108" i="1"/>
  <c r="AE108" i="1" s="1"/>
  <c r="AF108" i="1" s="1"/>
  <c r="AG108" i="1" s="1"/>
  <c r="AH108" i="1" s="1"/>
  <c r="AI108" i="1" s="1"/>
  <c r="AJ108" i="1" s="1"/>
  <c r="AK108" i="1" s="1"/>
  <c r="AL108" i="1" s="1"/>
  <c r="AM108" i="1" s="1"/>
  <c r="AN108" i="1" s="1"/>
  <c r="AO108" i="1" s="1"/>
  <c r="AP108" i="1" s="1"/>
  <c r="AQ108" i="1" s="1"/>
  <c r="AR108" i="1" s="1"/>
  <c r="AS108" i="1" s="1"/>
  <c r="AT108" i="1" s="1"/>
  <c r="AU108" i="1" s="1"/>
  <c r="AV108" i="1" s="1"/>
  <c r="AW108" i="1" s="1"/>
  <c r="AX108" i="1" s="1"/>
  <c r="AY108" i="1" s="1"/>
  <c r="AZ108" i="1" s="1"/>
  <c r="BA108" i="1" s="1"/>
  <c r="AD107" i="1"/>
  <c r="AE107" i="1" s="1"/>
  <c r="AF107" i="1" s="1"/>
  <c r="AG107" i="1" s="1"/>
  <c r="AH107" i="1" s="1"/>
  <c r="AI107" i="1" s="1"/>
  <c r="AJ107" i="1" s="1"/>
  <c r="AK107" i="1" s="1"/>
  <c r="AL107" i="1" s="1"/>
  <c r="AM107" i="1" s="1"/>
  <c r="AN107" i="1" s="1"/>
  <c r="AO107" i="1" s="1"/>
  <c r="AP107" i="1" s="1"/>
  <c r="AQ107" i="1" s="1"/>
  <c r="AR107" i="1" s="1"/>
  <c r="AS107" i="1" s="1"/>
  <c r="AT107" i="1" s="1"/>
  <c r="AU107" i="1" s="1"/>
  <c r="AV107" i="1" s="1"/>
  <c r="AW107" i="1" s="1"/>
  <c r="AX107" i="1" s="1"/>
  <c r="AY107" i="1" s="1"/>
  <c r="AZ107" i="1" s="1"/>
  <c r="BA107" i="1" s="1"/>
  <c r="AD106" i="1"/>
  <c r="AE106" i="1" s="1"/>
  <c r="AF106" i="1" s="1"/>
  <c r="AG106" i="1" s="1"/>
  <c r="AH106" i="1" s="1"/>
  <c r="AI106" i="1" s="1"/>
  <c r="AJ106" i="1" s="1"/>
  <c r="AK106" i="1" s="1"/>
  <c r="AL106" i="1" s="1"/>
  <c r="AM106" i="1" s="1"/>
  <c r="AN106" i="1" s="1"/>
  <c r="AO106" i="1" s="1"/>
  <c r="AP106" i="1" s="1"/>
  <c r="AQ106" i="1" s="1"/>
  <c r="AR106" i="1" s="1"/>
  <c r="AS106" i="1" s="1"/>
  <c r="AT106" i="1" s="1"/>
  <c r="AU106" i="1" s="1"/>
  <c r="AV106" i="1" s="1"/>
  <c r="AW106" i="1" s="1"/>
  <c r="AX106" i="1" s="1"/>
  <c r="AY106" i="1" s="1"/>
  <c r="AZ106" i="1" s="1"/>
  <c r="BA106" i="1" s="1"/>
  <c r="AD105" i="1"/>
  <c r="AE105" i="1" s="1"/>
  <c r="AF105" i="1" s="1"/>
  <c r="AG105" i="1" s="1"/>
  <c r="AH105" i="1" s="1"/>
  <c r="AI105" i="1" s="1"/>
  <c r="AJ105" i="1" s="1"/>
  <c r="AK105" i="1" s="1"/>
  <c r="AL105" i="1" s="1"/>
  <c r="AM105" i="1" s="1"/>
  <c r="AN105" i="1" s="1"/>
  <c r="AO105" i="1" s="1"/>
  <c r="AP105" i="1" s="1"/>
  <c r="AQ105" i="1" s="1"/>
  <c r="AR105" i="1" s="1"/>
  <c r="AS105" i="1" s="1"/>
  <c r="AT105" i="1" s="1"/>
  <c r="AU105" i="1" s="1"/>
  <c r="AV105" i="1" s="1"/>
  <c r="AW105" i="1" s="1"/>
  <c r="AX105" i="1" s="1"/>
  <c r="AY105" i="1" s="1"/>
  <c r="AZ105" i="1" s="1"/>
  <c r="BA105" i="1" s="1"/>
  <c r="AD104" i="1"/>
  <c r="AE104" i="1" s="1"/>
  <c r="AF104" i="1" s="1"/>
  <c r="AG104" i="1" s="1"/>
  <c r="AH104" i="1" s="1"/>
  <c r="AI104" i="1" s="1"/>
  <c r="AJ104" i="1" s="1"/>
  <c r="AK104" i="1" s="1"/>
  <c r="AL104" i="1" s="1"/>
  <c r="AM104" i="1" s="1"/>
  <c r="AN104" i="1" s="1"/>
  <c r="AO104" i="1" s="1"/>
  <c r="AP104" i="1" s="1"/>
  <c r="AQ104" i="1" s="1"/>
  <c r="AR104" i="1" s="1"/>
  <c r="AS104" i="1" s="1"/>
  <c r="AT104" i="1" s="1"/>
  <c r="AU104" i="1" s="1"/>
  <c r="AV104" i="1" s="1"/>
  <c r="AW104" i="1" s="1"/>
  <c r="AX104" i="1" s="1"/>
  <c r="AY104" i="1" s="1"/>
  <c r="AZ104" i="1" s="1"/>
  <c r="BA104" i="1" s="1"/>
  <c r="AD102" i="1"/>
  <c r="AE102" i="1" s="1"/>
  <c r="AF102" i="1" s="1"/>
  <c r="AG102" i="1" s="1"/>
  <c r="AH102" i="1" s="1"/>
  <c r="AI102" i="1" s="1"/>
  <c r="AJ102" i="1" s="1"/>
  <c r="AK102" i="1" s="1"/>
  <c r="AL102" i="1" s="1"/>
  <c r="AM102" i="1" s="1"/>
  <c r="AN102" i="1" s="1"/>
  <c r="AO102" i="1" s="1"/>
  <c r="AP102" i="1" s="1"/>
  <c r="AQ102" i="1" s="1"/>
  <c r="AR102" i="1" s="1"/>
  <c r="AS102" i="1" s="1"/>
  <c r="AT102" i="1" s="1"/>
  <c r="AU102" i="1" s="1"/>
  <c r="AV102" i="1" s="1"/>
  <c r="AW102" i="1" s="1"/>
  <c r="AX102" i="1" s="1"/>
  <c r="AY102" i="1" s="1"/>
  <c r="AZ102" i="1" s="1"/>
  <c r="BA102" i="1" s="1"/>
  <c r="AC97" i="1"/>
  <c r="AC98" i="1" s="1"/>
  <c r="AB97" i="1"/>
  <c r="AB98" i="1" s="1"/>
  <c r="AA97" i="1"/>
  <c r="AA98" i="1" s="1"/>
  <c r="Z97" i="1"/>
  <c r="Z98" i="1" s="1"/>
  <c r="Y97" i="1"/>
  <c r="Y98" i="1" s="1"/>
  <c r="X97" i="1"/>
  <c r="X98" i="1" s="1"/>
  <c r="W97" i="1"/>
  <c r="W98" i="1" s="1"/>
  <c r="V97" i="1"/>
  <c r="V98" i="1" s="1"/>
  <c r="AD96" i="1"/>
  <c r="AC92" i="1"/>
  <c r="AB92" i="1"/>
  <c r="AA92" i="1"/>
  <c r="Z92" i="1"/>
  <c r="Y92" i="1"/>
  <c r="X92" i="1"/>
  <c r="W92" i="1"/>
  <c r="V92" i="1"/>
  <c r="AC83" i="1"/>
  <c r="AB83" i="1"/>
  <c r="AA83" i="1"/>
  <c r="Z83" i="1"/>
  <c r="Y83" i="1"/>
  <c r="X83" i="1"/>
  <c r="W83" i="1"/>
  <c r="V83" i="1"/>
  <c r="AG7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C18" i="1"/>
  <c r="AB18" i="1"/>
  <c r="AA18" i="1"/>
  <c r="Z18" i="1"/>
  <c r="Y18" i="1"/>
  <c r="X18" i="1"/>
  <c r="W18" i="1"/>
  <c r="V18" i="1"/>
  <c r="U18" i="1"/>
  <c r="T18" i="1"/>
  <c r="S18" i="1"/>
  <c r="R18" i="1"/>
  <c r="AC10" i="1"/>
  <c r="AC15" i="1" s="1"/>
  <c r="AB10" i="1"/>
  <c r="AB15" i="1" s="1"/>
  <c r="AA10" i="1"/>
  <c r="AA15" i="1" s="1"/>
  <c r="Z10" i="1"/>
  <c r="Z15" i="1" s="1"/>
  <c r="Y10" i="1"/>
  <c r="Y15" i="1" s="1"/>
  <c r="X10" i="1"/>
  <c r="X15" i="1" s="1"/>
  <c r="W10" i="1"/>
  <c r="W15" i="1" s="1"/>
  <c r="V10" i="1"/>
  <c r="V15" i="1" s="1"/>
  <c r="U10" i="1"/>
  <c r="U15" i="1" s="1"/>
  <c r="T10" i="1"/>
  <c r="T15" i="1" s="1"/>
  <c r="S10" i="1"/>
  <c r="S15" i="1" s="1"/>
  <c r="R10" i="1"/>
  <c r="R15" i="1" s="1"/>
  <c r="R5" i="1"/>
  <c r="R6" i="1" s="1"/>
  <c r="E5" i="1"/>
  <c r="F4" i="1" s="1"/>
  <c r="F5" i="1" s="1"/>
  <c r="G4" i="1" s="1"/>
  <c r="G5" i="1" s="1"/>
  <c r="H4" i="1" s="1"/>
  <c r="H5" i="1" s="1"/>
  <c r="I4" i="1" s="1"/>
  <c r="I5" i="1" s="1"/>
  <c r="J4" i="1" s="1"/>
  <c r="J5" i="1" s="1"/>
  <c r="K4" i="1" s="1"/>
  <c r="K5" i="1" s="1"/>
  <c r="L4" i="1" s="1"/>
  <c r="L5" i="1" s="1"/>
  <c r="M4" i="1" s="1"/>
  <c r="M5" i="1" s="1"/>
  <c r="N4" i="1" s="1"/>
  <c r="N5" i="1" s="1"/>
  <c r="F3" i="1"/>
  <c r="S5" i="22"/>
  <c r="S6" i="22" s="1"/>
  <c r="F5" i="22"/>
  <c r="G4" i="22" s="1"/>
  <c r="G5" i="22" s="1"/>
  <c r="H4" i="22" s="1"/>
  <c r="H5" i="22" s="1"/>
  <c r="I4" i="22" s="1"/>
  <c r="I5" i="22" s="1"/>
  <c r="J4" i="22" s="1"/>
  <c r="J5" i="22" s="1"/>
  <c r="K4" i="22" s="1"/>
  <c r="K5" i="22" s="1"/>
  <c r="L4" i="22" s="1"/>
  <c r="L5" i="22" s="1"/>
  <c r="M4" i="22" s="1"/>
  <c r="M5" i="22" s="1"/>
  <c r="N4" i="22" s="1"/>
  <c r="N5" i="22" s="1"/>
  <c r="O4" i="22" s="1"/>
  <c r="O5" i="22" s="1"/>
  <c r="G3" i="22"/>
  <c r="H3" i="22" s="1"/>
  <c r="D59" i="8"/>
  <c r="J76" i="1"/>
  <c r="I76" i="1"/>
  <c r="D172" i="1"/>
  <c r="D171" i="1"/>
  <c r="C16" i="5"/>
  <c r="C15" i="5"/>
  <c r="AD22" i="25"/>
  <c r="D51" i="8"/>
  <c r="D47" i="8"/>
  <c r="D36" i="16"/>
  <c r="D42" i="8"/>
  <c r="D29" i="8"/>
  <c r="D13" i="8"/>
  <c r="D9" i="8"/>
  <c r="AU22" i="1"/>
  <c r="D12" i="21"/>
  <c r="D16" i="21"/>
  <c r="E5" i="21"/>
  <c r="K14" i="10"/>
  <c r="G7" i="10"/>
  <c r="A1" i="26" s="1"/>
  <c r="X69" i="13" l="1"/>
  <c r="H69" i="13"/>
  <c r="H70" i="13"/>
  <c r="G3" i="20"/>
  <c r="S4" i="20"/>
  <c r="S5" i="20" s="1"/>
  <c r="S6" i="20" s="1"/>
  <c r="G14" i="10"/>
  <c r="E3" i="21" s="1"/>
  <c r="Y169" i="1"/>
  <c r="K197" i="1"/>
  <c r="G3" i="9"/>
  <c r="AC23" i="26"/>
  <c r="AG23" i="26" s="1"/>
  <c r="AK23" i="26" s="1"/>
  <c r="AO23" i="26" s="1"/>
  <c r="AS23" i="26" s="1"/>
  <c r="AW23" i="26" s="1"/>
  <c r="AB23" i="26"/>
  <c r="AF23" i="26" s="1"/>
  <c r="AJ23" i="26" s="1"/>
  <c r="AN23" i="26" s="1"/>
  <c r="AR23" i="26" s="1"/>
  <c r="AV23" i="26" s="1"/>
  <c r="AA23" i="26"/>
  <c r="AE23" i="26" s="1"/>
  <c r="AI23" i="26" s="1"/>
  <c r="AM23" i="26" s="1"/>
  <c r="AQ23" i="26" s="1"/>
  <c r="AU23" i="26" s="1"/>
  <c r="AY23" i="26" s="1"/>
  <c r="Z23" i="26"/>
  <c r="AD23" i="26" s="1"/>
  <c r="AH23" i="26" s="1"/>
  <c r="AL23" i="26" s="1"/>
  <c r="AP23" i="26" s="1"/>
  <c r="AT23" i="26" s="1"/>
  <c r="AX23" i="26" s="1"/>
  <c r="Z22" i="26"/>
  <c r="AC22" i="26"/>
  <c r="AB22" i="26"/>
  <c r="AA22" i="26"/>
  <c r="D58" i="13"/>
  <c r="I25" i="8"/>
  <c r="H25" i="8"/>
  <c r="G25" i="8"/>
  <c r="F25" i="8"/>
  <c r="U130" i="1"/>
  <c r="Y130" i="1"/>
  <c r="D62" i="8"/>
  <c r="D54" i="8"/>
  <c r="AC25" i="8"/>
  <c r="Y25" i="8"/>
  <c r="U25" i="8"/>
  <c r="Q25" i="8"/>
  <c r="M25" i="8"/>
  <c r="AB25" i="8"/>
  <c r="X25" i="8"/>
  <c r="T25" i="8"/>
  <c r="P25" i="8"/>
  <c r="L25" i="8"/>
  <c r="AA25" i="8"/>
  <c r="W25" i="8"/>
  <c r="S25" i="8"/>
  <c r="O25" i="8"/>
  <c r="K25" i="8"/>
  <c r="Z25" i="8"/>
  <c r="V25" i="8"/>
  <c r="R25" i="8"/>
  <c r="N25" i="8"/>
  <c r="J25" i="8"/>
  <c r="AC22" i="8"/>
  <c r="Y22" i="8"/>
  <c r="U22" i="8"/>
  <c r="Q22" i="8"/>
  <c r="M22" i="8"/>
  <c r="W22" i="8"/>
  <c r="S22" i="8"/>
  <c r="K22" i="8"/>
  <c r="V22" i="8"/>
  <c r="N22" i="8"/>
  <c r="AB22" i="8"/>
  <c r="X22" i="8"/>
  <c r="T22" i="8"/>
  <c r="P22" i="8"/>
  <c r="L22" i="8"/>
  <c r="AA22" i="8"/>
  <c r="O22" i="8"/>
  <c r="Z22" i="8"/>
  <c r="R22" i="8"/>
  <c r="J22" i="8"/>
  <c r="AC19" i="8"/>
  <c r="Y19" i="8"/>
  <c r="U19" i="8"/>
  <c r="Q19" i="8"/>
  <c r="M19" i="8"/>
  <c r="R19" i="8"/>
  <c r="AB19" i="8"/>
  <c r="X19" i="8"/>
  <c r="T19" i="8"/>
  <c r="P19" i="8"/>
  <c r="L19" i="8"/>
  <c r="V19" i="8"/>
  <c r="N19" i="8"/>
  <c r="AA19" i="8"/>
  <c r="W19" i="8"/>
  <c r="S19" i="8"/>
  <c r="O19" i="8"/>
  <c r="K19" i="8"/>
  <c r="Z19" i="8"/>
  <c r="J19" i="8"/>
  <c r="Y110" i="3"/>
  <c r="Y107" i="3"/>
  <c r="Y108" i="3" s="1"/>
  <c r="X13" i="16"/>
  <c r="AB13" i="16"/>
  <c r="Z92" i="3"/>
  <c r="Z93" i="3" s="1"/>
  <c r="AC92" i="3"/>
  <c r="AC93" i="3" s="1"/>
  <c r="Y92" i="3"/>
  <c r="Y93" i="3" s="1"/>
  <c r="AB92" i="3"/>
  <c r="AB93" i="3" s="1"/>
  <c r="AA92" i="3"/>
  <c r="AA93" i="3" s="1"/>
  <c r="U17" i="16"/>
  <c r="Y13" i="16"/>
  <c r="AC13" i="16"/>
  <c r="X25" i="15"/>
  <c r="V17" i="16"/>
  <c r="Z17" i="16"/>
  <c r="AE81" i="3"/>
  <c r="AD92" i="3"/>
  <c r="AD93" i="3" s="1"/>
  <c r="R3" i="20"/>
  <c r="W13" i="16"/>
  <c r="AA13" i="16"/>
  <c r="S37" i="14"/>
  <c r="AC169" i="1"/>
  <c r="Y19" i="1"/>
  <c r="Y22" i="1" s="1"/>
  <c r="AC130" i="1"/>
  <c r="AQ158" i="1"/>
  <c r="AR158" i="1" s="1"/>
  <c r="AS158" i="1" s="1"/>
  <c r="AT158" i="1" s="1"/>
  <c r="AU158" i="1" s="1"/>
  <c r="AV158" i="1" s="1"/>
  <c r="AW158" i="1" s="1"/>
  <c r="AX158" i="1" s="1"/>
  <c r="AY158" i="1" s="1"/>
  <c r="AZ158" i="1" s="1"/>
  <c r="BA158" i="1" s="1"/>
  <c r="Y162" i="1"/>
  <c r="Y164" i="1" s="1"/>
  <c r="AA124" i="3"/>
  <c r="AA125" i="3" s="1"/>
  <c r="Z124" i="3"/>
  <c r="Z125" i="3" s="1"/>
  <c r="Y124" i="3"/>
  <c r="Y125" i="3" s="1"/>
  <c r="AD124" i="3"/>
  <c r="AD125" i="3" s="1"/>
  <c r="AC124" i="3"/>
  <c r="AC125" i="3" s="1"/>
  <c r="AB124" i="3"/>
  <c r="AB125" i="3" s="1"/>
  <c r="U19" i="1"/>
  <c r="U23" i="1" s="1"/>
  <c r="U24" i="1" s="1"/>
  <c r="AC19" i="1"/>
  <c r="AC23" i="1" s="1"/>
  <c r="V19" i="1"/>
  <c r="V23" i="1" s="1"/>
  <c r="D181" i="1"/>
  <c r="AE181" i="1" s="1"/>
  <c r="AF181" i="1" s="1"/>
  <c r="AG181" i="1" s="1"/>
  <c r="AH181" i="1" s="1"/>
  <c r="AI181" i="1" s="1"/>
  <c r="AJ181" i="1" s="1"/>
  <c r="AK181" i="1" s="1"/>
  <c r="Z64" i="3"/>
  <c r="Z67" i="3" s="1"/>
  <c r="Z75" i="3" s="1"/>
  <c r="Z76" i="3" s="1"/>
  <c r="Y78" i="3"/>
  <c r="Y14" i="3"/>
  <c r="H3" i="3"/>
  <c r="Z169" i="1"/>
  <c r="Z96" i="3"/>
  <c r="X169" i="1"/>
  <c r="Y8" i="3"/>
  <c r="Z4" i="3"/>
  <c r="Z5" i="3" s="1"/>
  <c r="Y6" i="3"/>
  <c r="T4" i="20"/>
  <c r="T5" i="20" s="1"/>
  <c r="S3" i="20"/>
  <c r="AB24" i="14"/>
  <c r="V13" i="16"/>
  <c r="Z13" i="16"/>
  <c r="W17" i="16"/>
  <c r="AA17" i="16"/>
  <c r="Y28" i="16"/>
  <c r="AC28" i="16"/>
  <c r="V19" i="13"/>
  <c r="U32" i="14"/>
  <c r="Y32" i="14"/>
  <c r="AC32" i="14"/>
  <c r="W25" i="15"/>
  <c r="AA25" i="15"/>
  <c r="G3" i="16"/>
  <c r="R3" i="16"/>
  <c r="X17" i="16"/>
  <c r="AB17" i="16"/>
  <c r="V28" i="16"/>
  <c r="Z28" i="16"/>
  <c r="Q3" i="5"/>
  <c r="G3" i="13"/>
  <c r="H3" i="13" s="1"/>
  <c r="G3" i="15"/>
  <c r="AA21" i="15"/>
  <c r="Y17" i="16"/>
  <c r="AC17" i="16"/>
  <c r="W28" i="16"/>
  <c r="AA28" i="16"/>
  <c r="G3" i="14"/>
  <c r="H3" i="14" s="1"/>
  <c r="I3" i="14" s="1"/>
  <c r="J3" i="14" s="1"/>
  <c r="K3" i="14" s="1"/>
  <c r="L3" i="14" s="1"/>
  <c r="M3" i="14" s="1"/>
  <c r="N3" i="14" s="1"/>
  <c r="AA24" i="14"/>
  <c r="X28" i="16"/>
  <c r="AB28" i="16"/>
  <c r="G3" i="5"/>
  <c r="AC38" i="8"/>
  <c r="U38" i="8"/>
  <c r="AB38" i="8"/>
  <c r="T38" i="8"/>
  <c r="AA38" i="8"/>
  <c r="Z38" i="8"/>
  <c r="R38" i="8"/>
  <c r="Y38" i="8"/>
  <c r="Q38" i="8"/>
  <c r="N38" i="8"/>
  <c r="S38" i="8"/>
  <c r="X38" i="8"/>
  <c r="P38" i="8"/>
  <c r="W38" i="8"/>
  <c r="O38" i="8"/>
  <c r="V38" i="8"/>
  <c r="S3" i="22"/>
  <c r="R162" i="1"/>
  <c r="Z162" i="1"/>
  <c r="R3" i="1"/>
  <c r="S19" i="1"/>
  <c r="S23" i="1" s="1"/>
  <c r="S24" i="1" s="1"/>
  <c r="Z19" i="1"/>
  <c r="Z22" i="1" s="1"/>
  <c r="S162" i="1"/>
  <c r="AA169" i="1"/>
  <c r="T162" i="1"/>
  <c r="AB162" i="1"/>
  <c r="AB169" i="1"/>
  <c r="R19" i="1"/>
  <c r="R23" i="1" s="1"/>
  <c r="R24" i="1" s="1"/>
  <c r="AA19" i="1"/>
  <c r="AA23" i="1" s="1"/>
  <c r="AA162" i="1"/>
  <c r="U162" i="1"/>
  <c r="U164" i="1" s="1"/>
  <c r="AC162" i="1"/>
  <c r="AC164" i="1" s="1"/>
  <c r="V162" i="1"/>
  <c r="W162" i="1"/>
  <c r="W169" i="1"/>
  <c r="W19" i="1"/>
  <c r="W23" i="1" s="1"/>
  <c r="X162" i="1"/>
  <c r="T19" i="1"/>
  <c r="T23" i="1" s="1"/>
  <c r="T24" i="1" s="1"/>
  <c r="AB19" i="1"/>
  <c r="X19" i="1"/>
  <c r="R172" i="1"/>
  <c r="R171" i="1"/>
  <c r="S4" i="1"/>
  <c r="S5" i="1" s="1"/>
  <c r="G3" i="1"/>
  <c r="V130" i="1"/>
  <c r="W130" i="1"/>
  <c r="X130" i="1"/>
  <c r="R130" i="1"/>
  <c r="Z130" i="1"/>
  <c r="S130" i="1"/>
  <c r="AA130" i="1"/>
  <c r="T130" i="1"/>
  <c r="AB130" i="1"/>
  <c r="S4" i="16"/>
  <c r="S5" i="16" s="1"/>
  <c r="S25" i="15"/>
  <c r="AB25" i="15"/>
  <c r="Y25" i="15"/>
  <c r="T25" i="15"/>
  <c r="V70" i="13"/>
  <c r="U25" i="15"/>
  <c r="AC21" i="15"/>
  <c r="W21" i="15"/>
  <c r="R3" i="15"/>
  <c r="AC70" i="13"/>
  <c r="V69" i="13"/>
  <c r="X70" i="13"/>
  <c r="Y69" i="13"/>
  <c r="AA69" i="13"/>
  <c r="AC69" i="13"/>
  <c r="Z38" i="15"/>
  <c r="Z41" i="15"/>
  <c r="Z42" i="15" s="1"/>
  <c r="S3" i="15"/>
  <c r="S6" i="15"/>
  <c r="T4" i="15"/>
  <c r="T5" i="15" s="1"/>
  <c r="AA38" i="15"/>
  <c r="AA41" i="15"/>
  <c r="AA42" i="15" s="1"/>
  <c r="AB38" i="15"/>
  <c r="AB41" i="15"/>
  <c r="AB42" i="15" s="1"/>
  <c r="V38" i="15"/>
  <c r="V41" i="15"/>
  <c r="V42" i="15" s="1"/>
  <c r="W41" i="15"/>
  <c r="W42" i="15" s="1"/>
  <c r="W38" i="15"/>
  <c r="X41" i="15"/>
  <c r="X42" i="15" s="1"/>
  <c r="X38" i="15"/>
  <c r="Y38" i="15"/>
  <c r="Y41" i="15"/>
  <c r="Y42" i="15" s="1"/>
  <c r="R6" i="15"/>
  <c r="X21" i="15"/>
  <c r="AC25" i="15"/>
  <c r="Y21" i="15"/>
  <c r="V25" i="15"/>
  <c r="Z21" i="15"/>
  <c r="H3" i="15"/>
  <c r="AB21" i="15"/>
  <c r="AC41" i="15"/>
  <c r="AC42" i="15" s="1"/>
  <c r="Z25" i="15"/>
  <c r="V21" i="15"/>
  <c r="Y70" i="13"/>
  <c r="Z69" i="13"/>
  <c r="AA70" i="13"/>
  <c r="W69" i="13"/>
  <c r="AB69" i="13"/>
  <c r="Z70" i="13"/>
  <c r="W70" i="13"/>
  <c r="AB70" i="13"/>
  <c r="Y37" i="8"/>
  <c r="X37" i="8"/>
  <c r="W37" i="8"/>
  <c r="AB37" i="8"/>
  <c r="V37" i="8"/>
  <c r="AC37" i="8"/>
  <c r="AA37" i="8"/>
  <c r="Z37" i="8"/>
  <c r="W32" i="14"/>
  <c r="X32" i="14"/>
  <c r="Z24" i="14"/>
  <c r="V32" i="14"/>
  <c r="W53" i="14"/>
  <c r="W49" i="14"/>
  <c r="T37" i="14"/>
  <c r="X53" i="14"/>
  <c r="X49" i="14"/>
  <c r="Y53" i="14"/>
  <c r="Y49" i="14"/>
  <c r="Z53" i="14"/>
  <c r="Z49" i="14"/>
  <c r="AA53" i="14"/>
  <c r="AA49" i="14"/>
  <c r="AB53" i="14"/>
  <c r="AB49" i="14"/>
  <c r="AC53" i="14"/>
  <c r="AC49" i="14"/>
  <c r="V53" i="14"/>
  <c r="V49" i="14"/>
  <c r="U22" i="14"/>
  <c r="U37" i="14" s="1"/>
  <c r="AC22" i="14"/>
  <c r="AC24" i="14"/>
  <c r="Z32" i="14"/>
  <c r="V22" i="14"/>
  <c r="V24" i="14"/>
  <c r="S32" i="14"/>
  <c r="AA32" i="14"/>
  <c r="W22" i="14"/>
  <c r="W24" i="14"/>
  <c r="T32" i="14"/>
  <c r="AB32" i="14"/>
  <c r="X22" i="14"/>
  <c r="X24" i="14"/>
  <c r="Y22" i="14"/>
  <c r="Y24" i="14"/>
  <c r="Z22" i="14"/>
  <c r="R3" i="14"/>
  <c r="AA22" i="14"/>
  <c r="AB22" i="14"/>
  <c r="S4" i="14"/>
  <c r="S5" i="14" s="1"/>
  <c r="H4" i="8"/>
  <c r="H5" i="8" s="1"/>
  <c r="G3" i="8"/>
  <c r="G6" i="8"/>
  <c r="F6" i="8"/>
  <c r="F3" i="8"/>
  <c r="I3" i="22"/>
  <c r="I29" i="22" s="1"/>
  <c r="T4" i="22"/>
  <c r="T5" i="22" s="1"/>
  <c r="R4" i="5"/>
  <c r="R5" i="5" s="1"/>
  <c r="Y76" i="3"/>
  <c r="A1" i="22"/>
  <c r="A1" i="25"/>
  <c r="Y51" i="9"/>
  <c r="Y52" i="9" s="1"/>
  <c r="Z51" i="9"/>
  <c r="Z52" i="9" s="1"/>
  <c r="R3" i="9"/>
  <c r="AA51" i="9"/>
  <c r="AA56" i="9" s="1"/>
  <c r="AB51" i="9"/>
  <c r="AB56" i="9" s="1"/>
  <c r="AC51" i="9"/>
  <c r="AC52" i="9" s="1"/>
  <c r="V51" i="9"/>
  <c r="V56" i="9" s="1"/>
  <c r="W51" i="9"/>
  <c r="W52" i="9" s="1"/>
  <c r="X51" i="9"/>
  <c r="X52" i="9" s="1"/>
  <c r="S6" i="9"/>
  <c r="T4" i="9"/>
  <c r="T5" i="9" s="1"/>
  <c r="H3" i="9"/>
  <c r="S3" i="9"/>
  <c r="R6" i="9"/>
  <c r="X123" i="9"/>
  <c r="V125" i="9"/>
  <c r="V126" i="9" s="1"/>
  <c r="Y123" i="9"/>
  <c r="W125" i="9"/>
  <c r="W126" i="9" s="1"/>
  <c r="Z123" i="9"/>
  <c r="AA123" i="9"/>
  <c r="AB123" i="9"/>
  <c r="AC123" i="9"/>
  <c r="Y19" i="13"/>
  <c r="Y9" i="3"/>
  <c r="D32" i="8"/>
  <c r="R3" i="13"/>
  <c r="T25" i="13"/>
  <c r="AB25" i="13"/>
  <c r="W19" i="13"/>
  <c r="AE23" i="13"/>
  <c r="S25" i="13"/>
  <c r="Z19" i="13"/>
  <c r="AA19" i="13"/>
  <c r="Y41" i="13"/>
  <c r="Y42" i="13" s="1"/>
  <c r="U25" i="13"/>
  <c r="AC19" i="13"/>
  <c r="AA41" i="13"/>
  <c r="AA44" i="13" s="1"/>
  <c r="X19" i="13"/>
  <c r="AK29" i="13"/>
  <c r="AK23" i="13"/>
  <c r="AO15" i="13"/>
  <c r="AI23" i="13"/>
  <c r="AM15" i="13"/>
  <c r="AJ29" i="13"/>
  <c r="AJ23" i="13"/>
  <c r="AN15" i="13"/>
  <c r="S4" i="13"/>
  <c r="S5" i="13" s="1"/>
  <c r="AF23" i="13"/>
  <c r="AC25" i="13"/>
  <c r="AD29" i="13"/>
  <c r="AB19" i="13"/>
  <c r="AG23" i="13"/>
  <c r="V25" i="13"/>
  <c r="AE29" i="13"/>
  <c r="W25" i="13"/>
  <c r="AF29" i="13"/>
  <c r="AH15" i="13"/>
  <c r="AI29" i="13" s="1"/>
  <c r="X25" i="13"/>
  <c r="AG29" i="13"/>
  <c r="Y25" i="13"/>
  <c r="Z25" i="13"/>
  <c r="AA25" i="13"/>
  <c r="AB41" i="13"/>
  <c r="AB44" i="13" s="1"/>
  <c r="V41" i="13"/>
  <c r="W41" i="13"/>
  <c r="W42" i="13" s="1"/>
  <c r="X41" i="13"/>
  <c r="X44" i="13" s="1"/>
  <c r="X75" i="13" s="1"/>
  <c r="AC41" i="13"/>
  <c r="AC42" i="13" s="1"/>
  <c r="Z41" i="13"/>
  <c r="Z42" i="13" s="1"/>
  <c r="H41" i="12"/>
  <c r="H36" i="12"/>
  <c r="H42" i="12"/>
  <c r="H37" i="12"/>
  <c r="I3" i="12"/>
  <c r="K10" i="18"/>
  <c r="O9" i="18"/>
  <c r="P9" i="18" s="1"/>
  <c r="Q9" i="18" s="1"/>
  <c r="Q10" i="18" s="1"/>
  <c r="I10" i="18"/>
  <c r="J10" i="18"/>
  <c r="U35" i="18"/>
  <c r="V35" i="18"/>
  <c r="R34" i="18"/>
  <c r="U56" i="18"/>
  <c r="I32" i="18"/>
  <c r="J32" i="18" s="1"/>
  <c r="K32" i="18" s="1"/>
  <c r="L32" i="18" s="1"/>
  <c r="M32" i="18" s="1"/>
  <c r="N32" i="18" s="1"/>
  <c r="O32" i="18" s="1"/>
  <c r="P32" i="18" s="1"/>
  <c r="Q32" i="18" s="1"/>
  <c r="G37" i="18"/>
  <c r="G3" i="18"/>
  <c r="J74" i="22"/>
  <c r="E11" i="21"/>
  <c r="F4" i="21"/>
  <c r="F5" i="21" s="1"/>
  <c r="E6" i="21"/>
  <c r="J75" i="22"/>
  <c r="AZ15" i="5"/>
  <c r="AV15" i="5"/>
  <c r="AR15" i="5"/>
  <c r="AN15" i="5"/>
  <c r="AJ15" i="5"/>
  <c r="AF15" i="5"/>
  <c r="AY15" i="5"/>
  <c r="AU15" i="5"/>
  <c r="AQ15" i="5"/>
  <c r="AM15" i="5"/>
  <c r="AI15" i="5"/>
  <c r="AE15" i="5"/>
  <c r="AX15" i="5"/>
  <c r="AT15" i="5"/>
  <c r="AP15" i="5"/>
  <c r="AL15" i="5"/>
  <c r="AH15" i="5"/>
  <c r="AD15" i="5"/>
  <c r="AW15" i="5"/>
  <c r="AS15" i="5"/>
  <c r="AO15" i="5"/>
  <c r="AK15" i="5"/>
  <c r="AG15" i="5"/>
  <c r="D104" i="20"/>
  <c r="D125" i="9"/>
  <c r="AZ171" i="1"/>
  <c r="AV171" i="1"/>
  <c r="AR171" i="1"/>
  <c r="AN171" i="1"/>
  <c r="AJ171" i="1"/>
  <c r="AF171" i="1"/>
  <c r="AY171" i="1"/>
  <c r="AU171" i="1"/>
  <c r="AQ171" i="1"/>
  <c r="AM171" i="1"/>
  <c r="AI171" i="1"/>
  <c r="AE171" i="1"/>
  <c r="BA171" i="1"/>
  <c r="AS171" i="1"/>
  <c r="AK171" i="1"/>
  <c r="AX171" i="1"/>
  <c r="AP171" i="1"/>
  <c r="AH171" i="1"/>
  <c r="AW171" i="1"/>
  <c r="AO171" i="1"/>
  <c r="AG171" i="1"/>
  <c r="AT171" i="1"/>
  <c r="AL171" i="1"/>
  <c r="AD171" i="1"/>
  <c r="A1" i="21"/>
  <c r="D61" i="21"/>
  <c r="O74" i="22"/>
  <c r="AE22" i="1"/>
  <c r="AM22" i="1"/>
  <c r="AD187" i="1"/>
  <c r="AX22" i="1"/>
  <c r="AT22" i="1"/>
  <c r="AP22" i="1"/>
  <c r="AL22" i="1"/>
  <c r="AH22" i="1"/>
  <c r="AD22" i="1"/>
  <c r="BA22" i="1"/>
  <c r="AW22" i="1"/>
  <c r="AS22" i="1"/>
  <c r="AO22" i="1"/>
  <c r="AK22" i="1"/>
  <c r="AG22" i="1"/>
  <c r="L52" i="8"/>
  <c r="P52" i="8" s="1"/>
  <c r="T52" i="8" s="1"/>
  <c r="X52" i="8" s="1"/>
  <c r="AB52" i="8" s="1"/>
  <c r="K52" i="8"/>
  <c r="O52" i="8" s="1"/>
  <c r="S52" i="8" s="1"/>
  <c r="W52" i="8" s="1"/>
  <c r="AA52" i="8" s="1"/>
  <c r="J52" i="8"/>
  <c r="N52" i="8" s="1"/>
  <c r="R52" i="8" s="1"/>
  <c r="V52" i="8" s="1"/>
  <c r="Z52" i="8" s="1"/>
  <c r="M52" i="8"/>
  <c r="Q52" i="8" s="1"/>
  <c r="U52" i="8" s="1"/>
  <c r="Y52" i="8" s="1"/>
  <c r="AC52" i="8" s="1"/>
  <c r="AY172" i="1"/>
  <c r="AU172" i="1"/>
  <c r="AQ172" i="1"/>
  <c r="AM172" i="1"/>
  <c r="AI172" i="1"/>
  <c r="AE172" i="1"/>
  <c r="AX172" i="1"/>
  <c r="AT172" i="1"/>
  <c r="AP172" i="1"/>
  <c r="AL172" i="1"/>
  <c r="AH172" i="1"/>
  <c r="AD172" i="1"/>
  <c r="AV172" i="1"/>
  <c r="AN172" i="1"/>
  <c r="AF172" i="1"/>
  <c r="BA172" i="1"/>
  <c r="AS172" i="1"/>
  <c r="AK172" i="1"/>
  <c r="AZ172" i="1"/>
  <c r="AR172" i="1"/>
  <c r="AJ172" i="1"/>
  <c r="AW172" i="1"/>
  <c r="AO172" i="1"/>
  <c r="AG172" i="1"/>
  <c r="AF22" i="1"/>
  <c r="AN22" i="1"/>
  <c r="AV22" i="1"/>
  <c r="AI22" i="1"/>
  <c r="AQ22" i="1"/>
  <c r="AY22" i="1"/>
  <c r="A1" i="5"/>
  <c r="A1" i="12"/>
  <c r="A1" i="4"/>
  <c r="A1" i="16"/>
  <c r="A1" i="18"/>
  <c r="A1" i="15"/>
  <c r="A1" i="13"/>
  <c r="A1" i="14"/>
  <c r="A1" i="20"/>
  <c r="A1" i="8"/>
  <c r="A1" i="3"/>
  <c r="A1" i="9"/>
  <c r="AZ16" i="5"/>
  <c r="AV16" i="5"/>
  <c r="AR16" i="5"/>
  <c r="AN16" i="5"/>
  <c r="AJ16" i="5"/>
  <c r="AF16" i="5"/>
  <c r="AY16" i="5"/>
  <c r="AU16" i="5"/>
  <c r="AQ16" i="5"/>
  <c r="AM16" i="5"/>
  <c r="AI16" i="5"/>
  <c r="AE16" i="5"/>
  <c r="AX16" i="5"/>
  <c r="AT16" i="5"/>
  <c r="AP16" i="5"/>
  <c r="AL16" i="5"/>
  <c r="AH16" i="5"/>
  <c r="AD16" i="5"/>
  <c r="AW16" i="5"/>
  <c r="AS16" i="5"/>
  <c r="AO16" i="5"/>
  <c r="AK16" i="5"/>
  <c r="AG16" i="5"/>
  <c r="D41" i="21"/>
  <c r="A1" i="1"/>
  <c r="AJ22" i="1"/>
  <c r="AR22" i="1"/>
  <c r="AZ22" i="1"/>
  <c r="F70" i="21" l="1"/>
  <c r="G70" i="21" s="1"/>
  <c r="H70" i="21" s="1"/>
  <c r="I70" i="21" s="1"/>
  <c r="J70" i="21" s="1"/>
  <c r="K70" i="21" s="1"/>
  <c r="L70" i="21" s="1"/>
  <c r="M70" i="21" s="1"/>
  <c r="N70" i="21" s="1"/>
  <c r="O70" i="21" s="1"/>
  <c r="P70" i="21" s="1"/>
  <c r="Q70" i="21" s="1"/>
  <c r="R70" i="21" s="1"/>
  <c r="S70" i="21" s="1"/>
  <c r="T70" i="21" s="1"/>
  <c r="U70" i="21" s="1"/>
  <c r="V70" i="21" s="1"/>
  <c r="W70" i="21" s="1"/>
  <c r="X70" i="21" s="1"/>
  <c r="Y70" i="21" s="1"/>
  <c r="Z70" i="21" s="1"/>
  <c r="AA70" i="21" s="1"/>
  <c r="AB70" i="21" s="1"/>
  <c r="E8" i="21"/>
  <c r="E12" i="21"/>
  <c r="F66" i="21"/>
  <c r="F67" i="21" s="1"/>
  <c r="F69" i="21" s="1"/>
  <c r="H3" i="20"/>
  <c r="F15" i="21"/>
  <c r="Y23" i="1"/>
  <c r="Y24" i="1" s="1"/>
  <c r="V22" i="1"/>
  <c r="AZ23" i="26"/>
  <c r="BA23" i="26"/>
  <c r="W56" i="9"/>
  <c r="AB52" i="9"/>
  <c r="X56" i="9"/>
  <c r="X59" i="9" s="1"/>
  <c r="V52" i="9"/>
  <c r="AA52" i="9"/>
  <c r="AE22" i="26"/>
  <c r="AA24" i="26"/>
  <c r="AF22" i="26"/>
  <c r="AB24" i="26"/>
  <c r="AG22" i="26"/>
  <c r="AC24" i="26"/>
  <c r="Z24" i="26"/>
  <c r="AD22" i="26"/>
  <c r="V24" i="26"/>
  <c r="AB14" i="26"/>
  <c r="W14" i="26"/>
  <c r="W15" i="26" s="1"/>
  <c r="AA14" i="26"/>
  <c r="AC14" i="26"/>
  <c r="Z14" i="26"/>
  <c r="V14" i="26"/>
  <c r="Y14" i="26"/>
  <c r="Y15" i="26" s="1"/>
  <c r="X14" i="26"/>
  <c r="X15" i="26" s="1"/>
  <c r="S164" i="1"/>
  <c r="AA66" i="8"/>
  <c r="W66" i="8"/>
  <c r="S66" i="8"/>
  <c r="O66" i="8"/>
  <c r="K66" i="8"/>
  <c r="G66" i="8"/>
  <c r="Z66" i="8"/>
  <c r="V66" i="8"/>
  <c r="R66" i="8"/>
  <c r="N66" i="8"/>
  <c r="J66" i="8"/>
  <c r="F66" i="8"/>
  <c r="AC66" i="8"/>
  <c r="Y66" i="8"/>
  <c r="U66" i="8"/>
  <c r="Q66" i="8"/>
  <c r="M66" i="8"/>
  <c r="I66" i="8"/>
  <c r="AB66" i="8"/>
  <c r="X66" i="8"/>
  <c r="T66" i="8"/>
  <c r="P66" i="8"/>
  <c r="L66" i="8"/>
  <c r="H66" i="8"/>
  <c r="V164" i="1"/>
  <c r="Y56" i="9"/>
  <c r="Y57" i="9" s="1"/>
  <c r="AC22" i="1"/>
  <c r="T164" i="1"/>
  <c r="AB164" i="1"/>
  <c r="W164" i="1"/>
  <c r="AA164" i="1"/>
  <c r="X164" i="1"/>
  <c r="Z164" i="1"/>
  <c r="Z23" i="1"/>
  <c r="Z24" i="1" s="1"/>
  <c r="R164" i="1"/>
  <c r="Y37" i="3"/>
  <c r="F14" i="21"/>
  <c r="H3" i="5"/>
  <c r="O10" i="18"/>
  <c r="AC56" i="9"/>
  <c r="AC59" i="9" s="1"/>
  <c r="AC60" i="9" s="1"/>
  <c r="Z56" i="9"/>
  <c r="Z59" i="9" s="1"/>
  <c r="Z6" i="3"/>
  <c r="Z8" i="3"/>
  <c r="Z97" i="3" s="1"/>
  <c r="AA4" i="3"/>
  <c r="AA5" i="3" s="1"/>
  <c r="Z3" i="3"/>
  <c r="Z9" i="3" s="1"/>
  <c r="P10" i="18"/>
  <c r="H3" i="16"/>
  <c r="I3" i="3"/>
  <c r="J3" i="3" s="1"/>
  <c r="K3" i="3" s="1"/>
  <c r="L3" i="3" s="1"/>
  <c r="M3" i="3" s="1"/>
  <c r="N3" i="3" s="1"/>
  <c r="T3" i="20"/>
  <c r="U4" i="20"/>
  <c r="U5" i="20" s="1"/>
  <c r="T6" i="20"/>
  <c r="Z99" i="3"/>
  <c r="Z107" i="3" s="1"/>
  <c r="Z78" i="3"/>
  <c r="AA64" i="3"/>
  <c r="AA67" i="3" s="1"/>
  <c r="AA75" i="3" s="1"/>
  <c r="W22" i="1"/>
  <c r="AA22" i="1"/>
  <c r="X22" i="1"/>
  <c r="X23" i="1"/>
  <c r="AB23" i="1"/>
  <c r="AB22" i="1"/>
  <c r="H3" i="1"/>
  <c r="S172" i="1"/>
  <c r="S171" i="1"/>
  <c r="S3" i="1"/>
  <c r="S6" i="1"/>
  <c r="T4" i="1"/>
  <c r="T5" i="1" s="1"/>
  <c r="W24" i="1"/>
  <c r="W34" i="1"/>
  <c r="W72" i="1" s="1"/>
  <c r="W94" i="1" s="1"/>
  <c r="V24" i="1"/>
  <c r="V34" i="1"/>
  <c r="V72" i="1" s="1"/>
  <c r="V94" i="1" s="1"/>
  <c r="AA34" i="1"/>
  <c r="AA72" i="1" s="1"/>
  <c r="AA94" i="1" s="1"/>
  <c r="AA24" i="1"/>
  <c r="AC34" i="1"/>
  <c r="AC72" i="1" s="1"/>
  <c r="AC94" i="1" s="1"/>
  <c r="AC24" i="1"/>
  <c r="Y34" i="1"/>
  <c r="Y72" i="1" s="1"/>
  <c r="Y94" i="1" s="1"/>
  <c r="S6" i="16"/>
  <c r="T4" i="16"/>
  <c r="T5" i="16" s="1"/>
  <c r="S3" i="16"/>
  <c r="I3" i="15"/>
  <c r="T3" i="15"/>
  <c r="T6" i="15"/>
  <c r="U4" i="15"/>
  <c r="U5" i="15" s="1"/>
  <c r="AE22" i="25"/>
  <c r="W37" i="14"/>
  <c r="W29" i="14"/>
  <c r="X37" i="14"/>
  <c r="X29" i="14"/>
  <c r="AA29" i="14"/>
  <c r="AA37" i="14"/>
  <c r="V56" i="14"/>
  <c r="V57" i="14" s="1"/>
  <c r="V54" i="14"/>
  <c r="AB56" i="14"/>
  <c r="AB57" i="14" s="1"/>
  <c r="AB54" i="14"/>
  <c r="Z56" i="14"/>
  <c r="Z57" i="14" s="1"/>
  <c r="Z54" i="14"/>
  <c r="X56" i="14"/>
  <c r="X57" i="14" s="1"/>
  <c r="X54" i="14"/>
  <c r="Y37" i="14"/>
  <c r="Y29" i="14"/>
  <c r="AC37" i="14"/>
  <c r="AC29" i="14"/>
  <c r="AB29" i="14"/>
  <c r="AB37" i="14"/>
  <c r="AC56" i="14"/>
  <c r="AC57" i="14" s="1"/>
  <c r="AC54" i="14"/>
  <c r="AA56" i="14"/>
  <c r="AA57" i="14" s="1"/>
  <c r="AA54" i="14"/>
  <c r="Y56" i="14"/>
  <c r="Y57" i="14" s="1"/>
  <c r="Y54" i="14"/>
  <c r="Z37" i="14"/>
  <c r="Z29" i="14"/>
  <c r="V37" i="14"/>
  <c r="V29" i="14"/>
  <c r="W56" i="14"/>
  <c r="W57" i="14" s="1"/>
  <c r="W54" i="14"/>
  <c r="S6" i="14"/>
  <c r="T4" i="14"/>
  <c r="T5" i="14" s="1"/>
  <c r="S3" i="14"/>
  <c r="I4" i="8"/>
  <c r="I5" i="8" s="1"/>
  <c r="H3" i="8"/>
  <c r="H6" i="8"/>
  <c r="J3" i="22"/>
  <c r="J29" i="22" s="1"/>
  <c r="U4" i="22"/>
  <c r="U5" i="22" s="1"/>
  <c r="T3" i="22"/>
  <c r="T6" i="22"/>
  <c r="AB45" i="13"/>
  <c r="AB75" i="13"/>
  <c r="AB73" i="13" s="1"/>
  <c r="AB82" i="13" s="1"/>
  <c r="AF82" i="13" s="1"/>
  <c r="AF73" i="13" s="1"/>
  <c r="AA45" i="13"/>
  <c r="AA75" i="13"/>
  <c r="AA73" i="13" s="1"/>
  <c r="AA82" i="13" s="1"/>
  <c r="AE82" i="13" s="1"/>
  <c r="AE73" i="13" s="1"/>
  <c r="AD9" i="5"/>
  <c r="AD8" i="5" s="1"/>
  <c r="AX10" i="5"/>
  <c r="R6" i="5"/>
  <c r="S4" i="5"/>
  <c r="S5" i="5" s="1"/>
  <c r="R3" i="5"/>
  <c r="X73" i="13"/>
  <c r="X82" i="13" s="1"/>
  <c r="X57" i="9"/>
  <c r="T6" i="9"/>
  <c r="U4" i="9"/>
  <c r="U5" i="9" s="1"/>
  <c r="T3" i="9"/>
  <c r="W57" i="9"/>
  <c r="W59" i="9"/>
  <c r="AA59" i="9"/>
  <c r="AA60" i="9" s="1"/>
  <c r="AA57" i="9"/>
  <c r="Y59" i="9"/>
  <c r="I3" i="9"/>
  <c r="V57" i="9"/>
  <c r="V59" i="9"/>
  <c r="AB59" i="9"/>
  <c r="AB60" i="9" s="1"/>
  <c r="AB57" i="9"/>
  <c r="Z57" i="9"/>
  <c r="AA42" i="13"/>
  <c r="Y44" i="13"/>
  <c r="AM23" i="13"/>
  <c r="AQ15" i="13"/>
  <c r="I3" i="13"/>
  <c r="S3" i="13"/>
  <c r="S6" i="13"/>
  <c r="T4" i="13"/>
  <c r="T5" i="13" s="1"/>
  <c r="AS15" i="13"/>
  <c r="AO29" i="13"/>
  <c r="AO23" i="13"/>
  <c r="AL15" i="13"/>
  <c r="AM29" i="13" s="1"/>
  <c r="AH29" i="13"/>
  <c r="AH23" i="13"/>
  <c r="AR15" i="13"/>
  <c r="AN29" i="13"/>
  <c r="AN23" i="13"/>
  <c r="Z44" i="13"/>
  <c r="AB42" i="13"/>
  <c r="W44" i="13"/>
  <c r="W75" i="13" s="1"/>
  <c r="X42" i="13"/>
  <c r="AC44" i="13"/>
  <c r="V42" i="13"/>
  <c r="V44" i="13"/>
  <c r="V75" i="13" s="1"/>
  <c r="X45" i="13"/>
  <c r="I54" i="12"/>
  <c r="I50" i="12"/>
  <c r="J3" i="12"/>
  <c r="U34" i="18"/>
  <c r="V34" i="18"/>
  <c r="H37" i="18"/>
  <c r="H20" i="18" s="1"/>
  <c r="H3" i="18"/>
  <c r="F16" i="21"/>
  <c r="F6" i="21"/>
  <c r="F3" i="21"/>
  <c r="F11" i="21"/>
  <c r="G4" i="21"/>
  <c r="G5" i="21" s="1"/>
  <c r="AG125" i="9"/>
  <c r="AK125" i="9" s="1"/>
  <c r="AO125" i="9" s="1"/>
  <c r="AS125" i="9" s="1"/>
  <c r="AW125" i="9" s="1"/>
  <c r="BA125" i="9" s="1"/>
  <c r="AF125" i="9"/>
  <c r="AJ125" i="9" s="1"/>
  <c r="AN125" i="9" s="1"/>
  <c r="AR125" i="9" s="1"/>
  <c r="AV125" i="9" s="1"/>
  <c r="AZ125" i="9" s="1"/>
  <c r="AE125" i="9"/>
  <c r="AI125" i="9" s="1"/>
  <c r="AM125" i="9" s="1"/>
  <c r="AQ125" i="9" s="1"/>
  <c r="AU125" i="9" s="1"/>
  <c r="AY125" i="9" s="1"/>
  <c r="AD125" i="9"/>
  <c r="AL181" i="1"/>
  <c r="AM181" i="1" s="1"/>
  <c r="AN181" i="1" s="1"/>
  <c r="AO181" i="1" s="1"/>
  <c r="G66" i="21" l="1"/>
  <c r="F71" i="21"/>
  <c r="Z26" i="26"/>
  <c r="Z25" i="26" s="1"/>
  <c r="AC26" i="26"/>
  <c r="AC25" i="26" s="1"/>
  <c r="AA26" i="26"/>
  <c r="AA25" i="26" s="1"/>
  <c r="I3" i="20"/>
  <c r="V26" i="26"/>
  <c r="V25" i="26" s="1"/>
  <c r="AB26" i="26"/>
  <c r="AB25" i="26" s="1"/>
  <c r="AC57" i="9"/>
  <c r="Y17" i="26"/>
  <c r="Y27" i="20" s="1"/>
  <c r="W17" i="26"/>
  <c r="W27" i="20" s="1"/>
  <c r="X17" i="26"/>
  <c r="X27" i="20" s="1"/>
  <c r="AH22" i="26"/>
  <c r="AD24" i="26"/>
  <c r="AJ22" i="26"/>
  <c r="AF24" i="26"/>
  <c r="AK22" i="26"/>
  <c r="AG24" i="26"/>
  <c r="AI22" i="26"/>
  <c r="AE24" i="26"/>
  <c r="V15" i="26"/>
  <c r="AI82" i="13"/>
  <c r="AI73" i="13" s="1"/>
  <c r="AJ82" i="13"/>
  <c r="AN82" i="13" s="1"/>
  <c r="Z14" i="3"/>
  <c r="Z34" i="1"/>
  <c r="Z72" i="1" s="1"/>
  <c r="Z94" i="1" s="1"/>
  <c r="G14" i="21"/>
  <c r="AA78" i="3"/>
  <c r="AB64" i="3"/>
  <c r="AB67" i="3" s="1"/>
  <c r="AB75" i="3" s="1"/>
  <c r="AA76" i="3"/>
  <c r="AA3" i="3"/>
  <c r="AA6" i="3"/>
  <c r="AB4" i="3"/>
  <c r="AB5" i="3" s="1"/>
  <c r="AA8" i="3"/>
  <c r="AA97" i="3" s="1"/>
  <c r="U6" i="20"/>
  <c r="U3" i="20"/>
  <c r="V4" i="20"/>
  <c r="V5" i="20" s="1"/>
  <c r="Z70" i="3"/>
  <c r="Z72" i="3" s="1"/>
  <c r="Z71" i="3"/>
  <c r="Z110" i="3"/>
  <c r="AA96" i="3"/>
  <c r="Z108" i="3"/>
  <c r="Z37" i="3" s="1"/>
  <c r="I3" i="16"/>
  <c r="J3" i="16" s="1"/>
  <c r="K3" i="16" s="1"/>
  <c r="L3" i="16" s="1"/>
  <c r="M3" i="16" s="1"/>
  <c r="N3" i="16" s="1"/>
  <c r="I3" i="5"/>
  <c r="I3" i="1"/>
  <c r="T172" i="1"/>
  <c r="T171" i="1"/>
  <c r="T6" i="1"/>
  <c r="T3" i="1"/>
  <c r="U4" i="1"/>
  <c r="U5" i="1" s="1"/>
  <c r="AB34" i="1"/>
  <c r="AB72" i="1" s="1"/>
  <c r="AB94" i="1" s="1"/>
  <c r="AB24" i="1"/>
  <c r="X34" i="1"/>
  <c r="X72" i="1" s="1"/>
  <c r="X94" i="1" s="1"/>
  <c r="X24" i="1"/>
  <c r="T6" i="16"/>
  <c r="U4" i="16"/>
  <c r="U5" i="16" s="1"/>
  <c r="T3" i="16"/>
  <c r="U3" i="15"/>
  <c r="U6" i="15"/>
  <c r="V4" i="15"/>
  <c r="V5" i="15" s="1"/>
  <c r="J3" i="15"/>
  <c r="AF22" i="25"/>
  <c r="U4" i="14"/>
  <c r="U5" i="14" s="1"/>
  <c r="T3" i="14"/>
  <c r="T6" i="14"/>
  <c r="J4" i="8"/>
  <c r="J5" i="8" s="1"/>
  <c r="I3" i="8"/>
  <c r="I6" i="8"/>
  <c r="U3" i="22"/>
  <c r="U6" i="22"/>
  <c r="V4" i="22"/>
  <c r="V5" i="22" s="1"/>
  <c r="K3" i="22"/>
  <c r="K29" i="22" s="1"/>
  <c r="Z75" i="13"/>
  <c r="Z73" i="13" s="1"/>
  <c r="Z45" i="13"/>
  <c r="Y75" i="13"/>
  <c r="Y73" i="13" s="1"/>
  <c r="Y82" i="13" s="1"/>
  <c r="Y45" i="13"/>
  <c r="AC45" i="13"/>
  <c r="AC75" i="13"/>
  <c r="AC73" i="13" s="1"/>
  <c r="AC82" i="13" s="1"/>
  <c r="AG82" i="13" s="1"/>
  <c r="AE9" i="5"/>
  <c r="AE8" i="5" s="1"/>
  <c r="AD12" i="5"/>
  <c r="AD11" i="5" s="1"/>
  <c r="F8" i="21" s="1"/>
  <c r="AY10" i="5"/>
  <c r="AX13" i="5"/>
  <c r="S6" i="5"/>
  <c r="T4" i="5"/>
  <c r="T5" i="5" s="1"/>
  <c r="S3" i="5"/>
  <c r="AC62" i="9"/>
  <c r="Z63" i="9"/>
  <c r="Z60" i="9"/>
  <c r="AB62" i="9"/>
  <c r="Y63" i="9"/>
  <c r="Y60" i="9"/>
  <c r="U6" i="9"/>
  <c r="V4" i="9"/>
  <c r="V5" i="9" s="1"/>
  <c r="U3" i="9"/>
  <c r="Y62" i="9"/>
  <c r="V63" i="9"/>
  <c r="V60" i="9"/>
  <c r="J3" i="9"/>
  <c r="Z62" i="9"/>
  <c r="W63" i="9"/>
  <c r="W60" i="9"/>
  <c r="AA62" i="9"/>
  <c r="X63" i="9"/>
  <c r="X60" i="9"/>
  <c r="W45" i="13"/>
  <c r="W73" i="13"/>
  <c r="W82" i="13" s="1"/>
  <c r="AR29" i="13"/>
  <c r="AR23" i="13"/>
  <c r="AV15" i="13"/>
  <c r="AS29" i="13"/>
  <c r="AS23" i="13"/>
  <c r="AW15" i="13"/>
  <c r="T3" i="13"/>
  <c r="T6" i="13"/>
  <c r="U4" i="13"/>
  <c r="U5" i="13" s="1"/>
  <c r="AL23" i="13"/>
  <c r="AP15" i="13"/>
  <c r="AQ29" i="13" s="1"/>
  <c r="AL29" i="13"/>
  <c r="AQ23" i="13"/>
  <c r="AU15" i="13"/>
  <c r="J3" i="13"/>
  <c r="V45" i="13"/>
  <c r="V73" i="13"/>
  <c r="V82" i="13" s="1"/>
  <c r="J54" i="12"/>
  <c r="J50" i="12"/>
  <c r="K3" i="12"/>
  <c r="H21" i="18"/>
  <c r="G16" i="21"/>
  <c r="V20" i="18"/>
  <c r="U20" i="18"/>
  <c r="I3" i="18"/>
  <c r="G15" i="18"/>
  <c r="G7" i="18" s="1"/>
  <c r="I37" i="18"/>
  <c r="AH125" i="9"/>
  <c r="H4" i="21"/>
  <c r="H5" i="21" s="1"/>
  <c r="G11" i="21"/>
  <c r="G3" i="21"/>
  <c r="G6" i="21"/>
  <c r="AP181" i="1"/>
  <c r="F12" i="21"/>
  <c r="G15" i="21"/>
  <c r="H66" i="21" l="1"/>
  <c r="G67" i="21"/>
  <c r="J3" i="20"/>
  <c r="AG26" i="26"/>
  <c r="AG25" i="26" s="1"/>
  <c r="AD26" i="26"/>
  <c r="AD25" i="26" s="1"/>
  <c r="AE26" i="26"/>
  <c r="AE25" i="26" s="1"/>
  <c r="AF26" i="26"/>
  <c r="AF25" i="26" s="1"/>
  <c r="V17" i="26"/>
  <c r="V27" i="20" s="1"/>
  <c r="AM22" i="26"/>
  <c r="AI24" i="26"/>
  <c r="AN22" i="26"/>
  <c r="AJ24" i="26"/>
  <c r="AO22" i="26"/>
  <c r="AK24" i="26"/>
  <c r="AL22" i="26"/>
  <c r="AH24" i="26"/>
  <c r="AM82" i="13"/>
  <c r="AM73" i="13" s="1"/>
  <c r="AJ73" i="13"/>
  <c r="AG73" i="13"/>
  <c r="AK82" i="13"/>
  <c r="Z74" i="13"/>
  <c r="Z82" i="13"/>
  <c r="AD82" i="13" s="1"/>
  <c r="AR82" i="13"/>
  <c r="AN73" i="13"/>
  <c r="AA99" i="3"/>
  <c r="AA107" i="3" s="1"/>
  <c r="AA108" i="3" s="1"/>
  <c r="AA37" i="3" s="1"/>
  <c r="H14" i="21"/>
  <c r="AA9" i="3"/>
  <c r="AA71" i="3"/>
  <c r="AA70" i="3"/>
  <c r="J3" i="5"/>
  <c r="AB8" i="3"/>
  <c r="AB97" i="3" s="1"/>
  <c r="AB6" i="3"/>
  <c r="AC4" i="3"/>
  <c r="AC5" i="3" s="1"/>
  <c r="AB3" i="3"/>
  <c r="AB9" i="3" s="1"/>
  <c r="V6" i="20"/>
  <c r="W4" i="20"/>
  <c r="W5" i="20" s="1"/>
  <c r="V3" i="20"/>
  <c r="AB78" i="3"/>
  <c r="AC64" i="3"/>
  <c r="AC67" i="3" s="1"/>
  <c r="AC75" i="3" s="1"/>
  <c r="AB76" i="3"/>
  <c r="J3" i="1"/>
  <c r="U171" i="1"/>
  <c r="U172" i="1"/>
  <c r="U6" i="1"/>
  <c r="V4" i="1"/>
  <c r="V5" i="1" s="1"/>
  <c r="U3" i="1"/>
  <c r="V4" i="16"/>
  <c r="V5" i="16" s="1"/>
  <c r="U3" i="16"/>
  <c r="U6" i="16"/>
  <c r="K3" i="15"/>
  <c r="V3" i="15"/>
  <c r="V6" i="15"/>
  <c r="W4" i="15"/>
  <c r="W5" i="15" s="1"/>
  <c r="AG22" i="25"/>
  <c r="U3" i="14"/>
  <c r="U6" i="14"/>
  <c r="V4" i="14"/>
  <c r="V5" i="14" s="1"/>
  <c r="K4" i="8"/>
  <c r="K5" i="8" s="1"/>
  <c r="J3" i="8"/>
  <c r="J6" i="8"/>
  <c r="L3" i="22"/>
  <c r="V3" i="22"/>
  <c r="V6" i="22"/>
  <c r="W4" i="22"/>
  <c r="W5" i="22" s="1"/>
  <c r="AE12" i="5"/>
  <c r="AE11" i="5" s="1"/>
  <c r="G8" i="21" s="1"/>
  <c r="AF9" i="5"/>
  <c r="AF8" i="5" s="1"/>
  <c r="AZ10" i="5"/>
  <c r="AY13" i="5"/>
  <c r="U4" i="5"/>
  <c r="U5" i="5" s="1"/>
  <c r="T3" i="5"/>
  <c r="T6" i="5"/>
  <c r="K3" i="9"/>
  <c r="V6" i="9"/>
  <c r="W4" i="9"/>
  <c r="W5" i="9" s="1"/>
  <c r="V3" i="9"/>
  <c r="V74" i="13"/>
  <c r="W74" i="13"/>
  <c r="X74" i="13"/>
  <c r="Y74" i="13"/>
  <c r="AC74" i="13"/>
  <c r="K3" i="13"/>
  <c r="U3" i="13"/>
  <c r="U6" i="13"/>
  <c r="V4" i="13"/>
  <c r="V5" i="13" s="1"/>
  <c r="AT15" i="13"/>
  <c r="AU29" i="13" s="1"/>
  <c r="AP29" i="13"/>
  <c r="AP23" i="13"/>
  <c r="BA15" i="13"/>
  <c r="AW29" i="13"/>
  <c r="AW23" i="13"/>
  <c r="AZ15" i="13"/>
  <c r="AV29" i="13"/>
  <c r="AV23" i="13"/>
  <c r="AU23" i="13"/>
  <c r="AY15" i="13"/>
  <c r="AB74" i="13"/>
  <c r="AA74" i="13"/>
  <c r="K51" i="12"/>
  <c r="K54" i="12"/>
  <c r="K50" i="12"/>
  <c r="L3" i="12"/>
  <c r="H16" i="21"/>
  <c r="I20" i="18"/>
  <c r="J37" i="18"/>
  <c r="J3" i="18"/>
  <c r="H15" i="21"/>
  <c r="H15" i="18"/>
  <c r="H7" i="18" s="1"/>
  <c r="AE13" i="3"/>
  <c r="G12" i="21"/>
  <c r="AL125" i="9"/>
  <c r="AQ181" i="1"/>
  <c r="H3" i="21"/>
  <c r="H11" i="21"/>
  <c r="H6" i="21"/>
  <c r="I4" i="21"/>
  <c r="I5" i="21" s="1"/>
  <c r="I66" i="21" l="1"/>
  <c r="H67" i="21"/>
  <c r="AH26" i="26"/>
  <c r="AH25" i="26" s="1"/>
  <c r="AJ26" i="26"/>
  <c r="AJ25" i="26" s="1"/>
  <c r="AK26" i="26"/>
  <c r="AK25" i="26" s="1"/>
  <c r="AI26" i="26"/>
  <c r="AI25" i="26" s="1"/>
  <c r="K3" i="20"/>
  <c r="AA14" i="3"/>
  <c r="AB96" i="3"/>
  <c r="AA110" i="3"/>
  <c r="M3" i="22"/>
  <c r="L29" i="22"/>
  <c r="AP22" i="26"/>
  <c r="AL24" i="26"/>
  <c r="AR22" i="26"/>
  <c r="AN24" i="26"/>
  <c r="AS22" i="26"/>
  <c r="AO24" i="26"/>
  <c r="AQ22" i="26"/>
  <c r="AM24" i="26"/>
  <c r="I15" i="18"/>
  <c r="I7" i="18" s="1"/>
  <c r="AQ82" i="13"/>
  <c r="AU82" i="13" s="1"/>
  <c r="AD73" i="13"/>
  <c r="AH82" i="13"/>
  <c r="AK73" i="13"/>
  <c r="AO82" i="13"/>
  <c r="AV82" i="13"/>
  <c r="AR73" i="13"/>
  <c r="AA72" i="3"/>
  <c r="I14" i="21"/>
  <c r="AC8" i="3"/>
  <c r="AC97" i="3" s="1"/>
  <c r="AD4" i="3"/>
  <c r="AD5" i="3" s="1"/>
  <c r="AC6" i="3"/>
  <c r="AC3" i="3"/>
  <c r="AB99" i="3"/>
  <c r="AB107" i="3" s="1"/>
  <c r="AD64" i="3"/>
  <c r="AD67" i="3" s="1"/>
  <c r="AD75" i="3" s="1"/>
  <c r="AC78" i="3"/>
  <c r="AC76" i="3"/>
  <c r="K3" i="5"/>
  <c r="AB71" i="3"/>
  <c r="AB70" i="3"/>
  <c r="X4" i="20"/>
  <c r="X5" i="20" s="1"/>
  <c r="W3" i="20"/>
  <c r="W6" i="20"/>
  <c r="V171" i="1"/>
  <c r="V172" i="1"/>
  <c r="W4" i="1"/>
  <c r="W5" i="1" s="1"/>
  <c r="V3" i="1"/>
  <c r="V6" i="1"/>
  <c r="K3" i="1"/>
  <c r="V3" i="16"/>
  <c r="V6" i="16"/>
  <c r="W4" i="16"/>
  <c r="W5" i="16" s="1"/>
  <c r="W3" i="15"/>
  <c r="W6" i="15"/>
  <c r="X4" i="15"/>
  <c r="X5" i="15" s="1"/>
  <c r="L3" i="15"/>
  <c r="AH22" i="25"/>
  <c r="V3" i="14"/>
  <c r="V6" i="14"/>
  <c r="W4" i="14"/>
  <c r="W5" i="14" s="1"/>
  <c r="L4" i="8"/>
  <c r="L5" i="8" s="1"/>
  <c r="K3" i="8"/>
  <c r="K6" i="8"/>
  <c r="W3" i="22"/>
  <c r="W6" i="22"/>
  <c r="X4" i="22"/>
  <c r="X5" i="22" s="1"/>
  <c r="AF13" i="3"/>
  <c r="AF12" i="5"/>
  <c r="AF11" i="5" s="1"/>
  <c r="H8" i="21" s="1"/>
  <c r="AG9" i="5"/>
  <c r="AG8" i="5" s="1"/>
  <c r="AZ13" i="5"/>
  <c r="U3" i="5"/>
  <c r="V4" i="5"/>
  <c r="V5" i="5" s="1"/>
  <c r="U6" i="5"/>
  <c r="L3" i="9"/>
  <c r="W6" i="9"/>
  <c r="X4" i="9"/>
  <c r="X5" i="9" s="1"/>
  <c r="W3" i="9"/>
  <c r="V3" i="13"/>
  <c r="V6" i="13"/>
  <c r="W4" i="13"/>
  <c r="W5" i="13" s="1"/>
  <c r="BA29" i="13"/>
  <c r="BA23" i="13"/>
  <c r="AY23" i="13"/>
  <c r="AT23" i="13"/>
  <c r="AX15" i="13"/>
  <c r="AT29" i="13"/>
  <c r="L3" i="13"/>
  <c r="AZ29" i="13"/>
  <c r="AZ23" i="13"/>
  <c r="L54" i="12"/>
  <c r="L50" i="12"/>
  <c r="L51" i="12"/>
  <c r="M3" i="12"/>
  <c r="I16" i="21"/>
  <c r="I21" i="18"/>
  <c r="K3" i="18"/>
  <c r="J20" i="18"/>
  <c r="K37" i="18"/>
  <c r="H12" i="21"/>
  <c r="I11" i="21"/>
  <c r="J4" i="21"/>
  <c r="J5" i="21" s="1"/>
  <c r="I3" i="21"/>
  <c r="I6" i="21"/>
  <c r="AR181" i="1"/>
  <c r="I15" i="21"/>
  <c r="AP125" i="9"/>
  <c r="J66" i="21" l="1"/>
  <c r="I67" i="21"/>
  <c r="AO26" i="26"/>
  <c r="AO25" i="26" s="1"/>
  <c r="AL26" i="26"/>
  <c r="AL25" i="26" s="1"/>
  <c r="L3" i="20"/>
  <c r="AM26" i="26"/>
  <c r="AM25" i="26" s="1"/>
  <c r="AN26" i="26"/>
  <c r="AN25" i="26" s="1"/>
  <c r="N3" i="22"/>
  <c r="M29" i="22"/>
  <c r="AU22" i="26"/>
  <c r="AQ24" i="26"/>
  <c r="AV22" i="26"/>
  <c r="AR24" i="26"/>
  <c r="AW22" i="26"/>
  <c r="AS24" i="26"/>
  <c r="AT22" i="26"/>
  <c r="AP24" i="26"/>
  <c r="AQ73" i="13"/>
  <c r="AS82" i="13"/>
  <c r="AO73" i="13"/>
  <c r="AH73" i="13"/>
  <c r="AL82" i="13"/>
  <c r="AZ82" i="13"/>
  <c r="AZ73" i="13" s="1"/>
  <c r="AV73" i="13"/>
  <c r="AY82" i="13"/>
  <c r="AY73" i="13" s="1"/>
  <c r="AU73" i="13"/>
  <c r="V113" i="14"/>
  <c r="J14" i="21"/>
  <c r="AE64" i="3"/>
  <c r="AD76" i="3"/>
  <c r="AC9" i="3"/>
  <c r="X3" i="20"/>
  <c r="X6" i="20"/>
  <c r="Y4" i="20"/>
  <c r="Y5" i="20" s="1"/>
  <c r="AC70" i="3"/>
  <c r="AC72" i="3" s="1"/>
  <c r="AC71" i="3"/>
  <c r="AB110" i="3"/>
  <c r="AC96" i="3"/>
  <c r="AC99" i="3" s="1"/>
  <c r="AC107" i="3" s="1"/>
  <c r="AB108" i="3"/>
  <c r="AB37" i="3" s="1"/>
  <c r="AB14" i="3"/>
  <c r="AD6" i="3"/>
  <c r="AE4" i="3"/>
  <c r="AE5" i="3" s="1"/>
  <c r="AD3" i="3"/>
  <c r="AD8" i="3"/>
  <c r="AD97" i="3" s="1"/>
  <c r="AB72" i="3"/>
  <c r="L3" i="5"/>
  <c r="W171" i="1"/>
  <c r="W172" i="1"/>
  <c r="W3" i="1"/>
  <c r="W6" i="1"/>
  <c r="X4" i="1"/>
  <c r="X5" i="1" s="1"/>
  <c r="L3" i="1"/>
  <c r="W3" i="16"/>
  <c r="W6" i="16"/>
  <c r="X4" i="16"/>
  <c r="X5" i="16" s="1"/>
  <c r="AI22" i="25"/>
  <c r="X6" i="15"/>
  <c r="Y4" i="15"/>
  <c r="Y5" i="15" s="1"/>
  <c r="X3" i="15"/>
  <c r="M3" i="15"/>
  <c r="W3" i="14"/>
  <c r="W6" i="14"/>
  <c r="X4" i="14"/>
  <c r="X5" i="14" s="1"/>
  <c r="M4" i="8"/>
  <c r="M5" i="8" s="1"/>
  <c r="L3" i="8"/>
  <c r="L6" i="8"/>
  <c r="X3" i="22"/>
  <c r="X6" i="22"/>
  <c r="Y4" i="22"/>
  <c r="Y5" i="22" s="1"/>
  <c r="AG12" i="5"/>
  <c r="AG11" i="5" s="1"/>
  <c r="I8" i="21" s="1"/>
  <c r="AG13" i="3"/>
  <c r="AH9" i="5"/>
  <c r="AH8" i="5" s="1"/>
  <c r="V3" i="5"/>
  <c r="V6" i="5"/>
  <c r="W4" i="5"/>
  <c r="W5" i="5" s="1"/>
  <c r="M3" i="9"/>
  <c r="X6" i="9"/>
  <c r="Y4" i="9"/>
  <c r="Y5" i="9" s="1"/>
  <c r="X3" i="9"/>
  <c r="M3" i="13"/>
  <c r="AX29" i="13"/>
  <c r="AX23" i="13"/>
  <c r="W6" i="13"/>
  <c r="X4" i="13"/>
  <c r="X5" i="13" s="1"/>
  <c r="W3" i="13"/>
  <c r="AY29" i="13"/>
  <c r="M50" i="12"/>
  <c r="M51" i="12"/>
  <c r="M54" i="12"/>
  <c r="N3" i="12"/>
  <c r="J21" i="18"/>
  <c r="K20" i="18"/>
  <c r="L37" i="18"/>
  <c r="L3" i="18"/>
  <c r="K15" i="18" s="1"/>
  <c r="K7" i="18" s="1"/>
  <c r="J15" i="18"/>
  <c r="J7" i="18" s="1"/>
  <c r="J15" i="21"/>
  <c r="J6" i="21"/>
  <c r="J3" i="21"/>
  <c r="K4" i="21"/>
  <c r="K5" i="21" s="1"/>
  <c r="J11" i="21"/>
  <c r="AS181" i="1"/>
  <c r="AT125" i="9"/>
  <c r="E13" i="21"/>
  <c r="I12" i="21"/>
  <c r="J16" i="21"/>
  <c r="K66" i="21" l="1"/>
  <c r="J67" i="21"/>
  <c r="AS26" i="26"/>
  <c r="AS25" i="26" s="1"/>
  <c r="AQ26" i="26"/>
  <c r="AQ25" i="26" s="1"/>
  <c r="M3" i="20"/>
  <c r="AR26" i="26"/>
  <c r="AR25" i="26" s="1"/>
  <c r="AP26" i="26"/>
  <c r="AP25" i="26" s="1"/>
  <c r="O3" i="22"/>
  <c r="O29" i="22" s="1"/>
  <c r="N29" i="22"/>
  <c r="AX22" i="26"/>
  <c r="AT24" i="26"/>
  <c r="AZ22" i="26"/>
  <c r="AV24" i="26"/>
  <c r="BA22" i="26"/>
  <c r="AW24" i="26"/>
  <c r="AY22" i="26"/>
  <c r="AU24" i="26"/>
  <c r="AP82" i="13"/>
  <c r="AL73" i="13"/>
  <c r="AW82" i="13"/>
  <c r="AS73" i="13"/>
  <c r="W113" i="14"/>
  <c r="K14" i="21"/>
  <c r="AD9" i="3"/>
  <c r="AD98" i="3"/>
  <c r="M3" i="5"/>
  <c r="AE3" i="3"/>
  <c r="AE6" i="3"/>
  <c r="AE8" i="3"/>
  <c r="AE97" i="3" s="1"/>
  <c r="AF4" i="3"/>
  <c r="AF5" i="3" s="1"/>
  <c r="AC110" i="3"/>
  <c r="AD96" i="3"/>
  <c r="AC108" i="3"/>
  <c r="AC37" i="3" s="1"/>
  <c r="AC14" i="3"/>
  <c r="Y6" i="20"/>
  <c r="Z4" i="20"/>
  <c r="Z5" i="20" s="1"/>
  <c r="Y3" i="20"/>
  <c r="X171" i="1"/>
  <c r="X172" i="1"/>
  <c r="X3" i="1"/>
  <c r="Y4" i="1"/>
  <c r="Y5" i="1" s="1"/>
  <c r="X6" i="1"/>
  <c r="M3" i="1"/>
  <c r="X3" i="16"/>
  <c r="X6" i="16"/>
  <c r="Y4" i="16"/>
  <c r="Y5" i="16" s="1"/>
  <c r="AJ22" i="25"/>
  <c r="AK22" i="25" s="1"/>
  <c r="N3" i="15"/>
  <c r="Y6" i="15"/>
  <c r="Z4" i="15"/>
  <c r="Z5" i="15" s="1"/>
  <c r="Y3" i="15"/>
  <c r="X3" i="14"/>
  <c r="X6" i="14"/>
  <c r="Y4" i="14"/>
  <c r="Y5" i="14" s="1"/>
  <c r="M6" i="8"/>
  <c r="N4" i="8"/>
  <c r="N5" i="8" s="1"/>
  <c r="M3" i="8"/>
  <c r="Y3" i="22"/>
  <c r="Y6" i="22"/>
  <c r="Z4" i="22"/>
  <c r="Z5" i="22" s="1"/>
  <c r="AH13" i="3"/>
  <c r="AH12" i="5"/>
  <c r="AH11" i="5" s="1"/>
  <c r="J8" i="21" s="1"/>
  <c r="AI9" i="5"/>
  <c r="AI8" i="5" s="1"/>
  <c r="W3" i="5"/>
  <c r="W6" i="5"/>
  <c r="X4" i="5"/>
  <c r="X5" i="5" s="1"/>
  <c r="N3" i="9"/>
  <c r="Y6" i="9"/>
  <c r="Z4" i="9"/>
  <c r="Z5" i="9" s="1"/>
  <c r="Y3" i="9"/>
  <c r="X6" i="13"/>
  <c r="Y4" i="13"/>
  <c r="Y5" i="13" s="1"/>
  <c r="X3" i="13"/>
  <c r="N3" i="13"/>
  <c r="N51" i="12"/>
  <c r="N54" i="12"/>
  <c r="N50" i="12"/>
  <c r="O3" i="12"/>
  <c r="K21" i="18"/>
  <c r="L20" i="18"/>
  <c r="M37" i="18"/>
  <c r="M3" i="18"/>
  <c r="F13" i="21"/>
  <c r="L4" i="21"/>
  <c r="L5" i="21" s="1"/>
  <c r="K11" i="21"/>
  <c r="K6" i="21"/>
  <c r="K3" i="21"/>
  <c r="K16" i="21"/>
  <c r="AX125" i="9"/>
  <c r="AT181" i="1"/>
  <c r="J12" i="21"/>
  <c r="K15" i="21"/>
  <c r="L66" i="21" l="1"/>
  <c r="K67" i="21"/>
  <c r="AU26" i="26"/>
  <c r="AU25" i="26" s="1"/>
  <c r="AV26" i="26"/>
  <c r="AV25" i="26" s="1"/>
  <c r="AW26" i="26"/>
  <c r="AW25" i="26" s="1"/>
  <c r="AT26" i="26"/>
  <c r="AT25" i="26" s="1"/>
  <c r="N3" i="20"/>
  <c r="BA24" i="26"/>
  <c r="AY24" i="26"/>
  <c r="AZ24" i="26"/>
  <c r="AX24" i="26"/>
  <c r="BA82" i="13"/>
  <c r="BA73" i="13" s="1"/>
  <c r="AW73" i="13"/>
  <c r="AT82" i="13"/>
  <c r="AP73" i="13"/>
  <c r="AD99" i="3"/>
  <c r="AD107" i="3" s="1"/>
  <c r="AD108" i="3" s="1"/>
  <c r="X113" i="14"/>
  <c r="L14" i="21"/>
  <c r="N3" i="5"/>
  <c r="AE83" i="3"/>
  <c r="AE84" i="3" s="1"/>
  <c r="AE92" i="3" s="1"/>
  <c r="AE98" i="3"/>
  <c r="AE9" i="3"/>
  <c r="AE115" i="3" s="1"/>
  <c r="Z6" i="20"/>
  <c r="AA4" i="20"/>
  <c r="AA5" i="20" s="1"/>
  <c r="Z3" i="20"/>
  <c r="AF8" i="3"/>
  <c r="AF97" i="3" s="1"/>
  <c r="AG4" i="3"/>
  <c r="AG5" i="3" s="1"/>
  <c r="AF6" i="3"/>
  <c r="AF3" i="3"/>
  <c r="N3" i="1"/>
  <c r="Y172" i="1"/>
  <c r="Y171" i="1"/>
  <c r="Y3" i="1"/>
  <c r="Y6" i="1"/>
  <c r="Z4" i="1"/>
  <c r="Z5" i="1" s="1"/>
  <c r="Y3" i="16"/>
  <c r="Y6" i="16"/>
  <c r="Z4" i="16"/>
  <c r="Z5" i="16" s="1"/>
  <c r="AA4" i="15"/>
  <c r="AA5" i="15" s="1"/>
  <c r="Z3" i="15"/>
  <c r="Z6" i="15"/>
  <c r="Y3" i="14"/>
  <c r="Y6" i="14"/>
  <c r="Z4" i="14"/>
  <c r="Z5" i="14" s="1"/>
  <c r="O4" i="8"/>
  <c r="O5" i="8" s="1"/>
  <c r="N3" i="8"/>
  <c r="N6" i="8"/>
  <c r="Z6" i="22"/>
  <c r="AA4" i="22"/>
  <c r="AA5" i="22" s="1"/>
  <c r="Z3" i="22"/>
  <c r="AI13" i="3"/>
  <c r="AL22" i="25"/>
  <c r="AI12" i="5"/>
  <c r="AI11" i="5" s="1"/>
  <c r="K8" i="21" s="1"/>
  <c r="AJ9" i="5"/>
  <c r="AJ8" i="5" s="1"/>
  <c r="X3" i="5"/>
  <c r="X6" i="5"/>
  <c r="Y4" i="5"/>
  <c r="Y5" i="5" s="1"/>
  <c r="AA4" i="9"/>
  <c r="AA5" i="9" s="1"/>
  <c r="Z6" i="9"/>
  <c r="Z3" i="9"/>
  <c r="Z4" i="13"/>
  <c r="Z5" i="13" s="1"/>
  <c r="Y3" i="13"/>
  <c r="Y6" i="13"/>
  <c r="O51" i="12"/>
  <c r="O54" i="12"/>
  <c r="O50" i="12"/>
  <c r="P3" i="12"/>
  <c r="L21" i="18"/>
  <c r="N3" i="18"/>
  <c r="L15" i="18"/>
  <c r="L7" i="18" s="1"/>
  <c r="M20" i="18"/>
  <c r="N37" i="18"/>
  <c r="L16" i="21"/>
  <c r="L15" i="21"/>
  <c r="AU181" i="1"/>
  <c r="L3" i="21"/>
  <c r="L6" i="21"/>
  <c r="M4" i="21"/>
  <c r="M5" i="21" s="1"/>
  <c r="L11" i="21"/>
  <c r="K12" i="21"/>
  <c r="G13" i="21"/>
  <c r="M66" i="21" l="1"/>
  <c r="L67" i="21"/>
  <c r="AY26" i="26"/>
  <c r="AY25" i="26" s="1"/>
  <c r="BA26" i="26"/>
  <c r="BA25" i="26" s="1"/>
  <c r="AX26" i="26"/>
  <c r="AX25" i="26" s="1"/>
  <c r="AZ26" i="26"/>
  <c r="AZ25" i="26" s="1"/>
  <c r="AE116" i="3"/>
  <c r="AE124" i="3" s="1"/>
  <c r="AE125" i="3" s="1"/>
  <c r="AE66" i="3"/>
  <c r="AE67" i="3" s="1"/>
  <c r="AE75" i="3" s="1"/>
  <c r="AE76" i="3" s="1"/>
  <c r="AE96" i="3"/>
  <c r="AE99" i="3" s="1"/>
  <c r="AX82" i="13"/>
  <c r="AX73" i="13" s="1"/>
  <c r="AT73" i="13"/>
  <c r="Y113" i="14"/>
  <c r="M14" i="21"/>
  <c r="AF83" i="3"/>
  <c r="AF98" i="3"/>
  <c r="AF9" i="3"/>
  <c r="AF115" i="3" s="1"/>
  <c r="AB4" i="20"/>
  <c r="AB5" i="20" s="1"/>
  <c r="AA3" i="20"/>
  <c r="AA6" i="20"/>
  <c r="AF81" i="3"/>
  <c r="AF84" i="3" s="1"/>
  <c r="AF92" i="3" s="1"/>
  <c r="AE93" i="3"/>
  <c r="AG8" i="3"/>
  <c r="AG97" i="3" s="1"/>
  <c r="AH4" i="3"/>
  <c r="AH5" i="3" s="1"/>
  <c r="AG6" i="3"/>
  <c r="AG3" i="3"/>
  <c r="Z172" i="1"/>
  <c r="Z171" i="1"/>
  <c r="Z3" i="1"/>
  <c r="Z6" i="1"/>
  <c r="AA4" i="1"/>
  <c r="AA5" i="1" s="1"/>
  <c r="Z3" i="16"/>
  <c r="Z6" i="16"/>
  <c r="AA4" i="16"/>
  <c r="AA5" i="16" s="1"/>
  <c r="AA3" i="15"/>
  <c r="AA6" i="15"/>
  <c r="AB4" i="15"/>
  <c r="AB5" i="15" s="1"/>
  <c r="Z6" i="14"/>
  <c r="AA4" i="14"/>
  <c r="AA5" i="14" s="1"/>
  <c r="Z3" i="14"/>
  <c r="P4" i="8"/>
  <c r="P5" i="8" s="1"/>
  <c r="O3" i="8"/>
  <c r="O6" i="8"/>
  <c r="AA6" i="22"/>
  <c r="AB4" i="22"/>
  <c r="AB5" i="22" s="1"/>
  <c r="AA3" i="22"/>
  <c r="AJ13" i="3"/>
  <c r="AM22" i="25"/>
  <c r="AJ12" i="5"/>
  <c r="AJ11" i="5" s="1"/>
  <c r="L8" i="21" s="1"/>
  <c r="AK9" i="5"/>
  <c r="AK8" i="5" s="1"/>
  <c r="Y3" i="5"/>
  <c r="Y6" i="5"/>
  <c r="Z4" i="5"/>
  <c r="Z5" i="5" s="1"/>
  <c r="AA6" i="9"/>
  <c r="AB4" i="9"/>
  <c r="AB5" i="9" s="1"/>
  <c r="AA3" i="9"/>
  <c r="Z3" i="13"/>
  <c r="Z6" i="13"/>
  <c r="AA4" i="13"/>
  <c r="AA5" i="13" s="1"/>
  <c r="P51" i="12"/>
  <c r="P54" i="12"/>
  <c r="P50" i="12"/>
  <c r="P52" i="12"/>
  <c r="Q3" i="12"/>
  <c r="M15" i="18"/>
  <c r="M7" i="18" s="1"/>
  <c r="M21" i="18"/>
  <c r="N20" i="18"/>
  <c r="O37" i="18"/>
  <c r="O3" i="18"/>
  <c r="M16" i="21"/>
  <c r="L12" i="21"/>
  <c r="M15" i="21"/>
  <c r="H13" i="21"/>
  <c r="M11" i="21"/>
  <c r="M6" i="21"/>
  <c r="N4" i="21"/>
  <c r="N5" i="21" s="1"/>
  <c r="M3" i="21"/>
  <c r="AV181" i="1"/>
  <c r="N66" i="21" l="1"/>
  <c r="M67" i="21"/>
  <c r="AE107" i="3"/>
  <c r="AE108" i="3" s="1"/>
  <c r="AF96" i="3"/>
  <c r="AF113" i="3"/>
  <c r="AF116" i="3" s="1"/>
  <c r="AF124" i="3" s="1"/>
  <c r="Z113" i="14"/>
  <c r="AF64" i="3"/>
  <c r="AF66" i="3" s="1"/>
  <c r="N14" i="21"/>
  <c r="AB3" i="20"/>
  <c r="AC4" i="20"/>
  <c r="AC5" i="20" s="1"/>
  <c r="AB6" i="20"/>
  <c r="AH6" i="3"/>
  <c r="AH8" i="3"/>
  <c r="AH97" i="3" s="1"/>
  <c r="AI4" i="3"/>
  <c r="AI5" i="3" s="1"/>
  <c r="AH3" i="3"/>
  <c r="AG81" i="3"/>
  <c r="AF93" i="3"/>
  <c r="AF99" i="3"/>
  <c r="AF107" i="3" s="1"/>
  <c r="AG98" i="3"/>
  <c r="AG83" i="3"/>
  <c r="AG9" i="3"/>
  <c r="AG115" i="3" s="1"/>
  <c r="AA172" i="1"/>
  <c r="AA171" i="1"/>
  <c r="AA3" i="1"/>
  <c r="AB4" i="1"/>
  <c r="AB5" i="1" s="1"/>
  <c r="AA6" i="1"/>
  <c r="AA3" i="16"/>
  <c r="AA6" i="16"/>
  <c r="AB4" i="16"/>
  <c r="AB5" i="16" s="1"/>
  <c r="AB3" i="15"/>
  <c r="AB6" i="15"/>
  <c r="AC4" i="15"/>
  <c r="AC5" i="15" s="1"/>
  <c r="AA6" i="14"/>
  <c r="AB4" i="14"/>
  <c r="AB5" i="14" s="1"/>
  <c r="AA3" i="14"/>
  <c r="Q4" i="8"/>
  <c r="Q5" i="8" s="1"/>
  <c r="P3" i="8"/>
  <c r="P6" i="8"/>
  <c r="AC4" i="22"/>
  <c r="AC5" i="22" s="1"/>
  <c r="AB3" i="22"/>
  <c r="AB6" i="22"/>
  <c r="AK13" i="3"/>
  <c r="AN22" i="25"/>
  <c r="AK12" i="5"/>
  <c r="AK11" i="5" s="1"/>
  <c r="M8" i="21" s="1"/>
  <c r="AL9" i="5"/>
  <c r="AL8" i="5" s="1"/>
  <c r="Z6" i="5"/>
  <c r="AA4" i="5"/>
  <c r="AA5" i="5" s="1"/>
  <c r="Z3" i="5"/>
  <c r="AB6" i="9"/>
  <c r="AC4" i="9"/>
  <c r="AC5" i="9" s="1"/>
  <c r="AB3" i="9"/>
  <c r="AA3" i="13"/>
  <c r="AA6" i="13"/>
  <c r="AB4" i="13"/>
  <c r="AB5" i="13" s="1"/>
  <c r="Q51" i="12"/>
  <c r="Q54" i="12"/>
  <c r="Q50" i="12"/>
  <c r="Q52" i="12"/>
  <c r="R3" i="12"/>
  <c r="N21" i="18"/>
  <c r="P3" i="18"/>
  <c r="N15" i="18"/>
  <c r="N7" i="18" s="1"/>
  <c r="O20" i="18"/>
  <c r="O21" i="18" s="1"/>
  <c r="P37" i="18"/>
  <c r="N6" i="21"/>
  <c r="N3" i="21"/>
  <c r="N11" i="21"/>
  <c r="O4" i="21"/>
  <c r="O5" i="21" s="1"/>
  <c r="N15" i="21"/>
  <c r="N16" i="21"/>
  <c r="M12" i="21"/>
  <c r="AW181" i="1"/>
  <c r="I13" i="21"/>
  <c r="O66" i="21" l="1"/>
  <c r="N67" i="21"/>
  <c r="AA113" i="14"/>
  <c r="AF67" i="3"/>
  <c r="AF75" i="3" s="1"/>
  <c r="AF76" i="3" s="1"/>
  <c r="J13" i="21"/>
  <c r="O14" i="21"/>
  <c r="AG96" i="3"/>
  <c r="AG99" i="3" s="1"/>
  <c r="AG107" i="3" s="1"/>
  <c r="AF108" i="3"/>
  <c r="AI3" i="3"/>
  <c r="AJ4" i="3"/>
  <c r="AJ5" i="3" s="1"/>
  <c r="AI6" i="3"/>
  <c r="AI8" i="3"/>
  <c r="AI97" i="3" s="1"/>
  <c r="AG84" i="3"/>
  <c r="AG92" i="3" s="1"/>
  <c r="AG113" i="3"/>
  <c r="AG116" i="3" s="1"/>
  <c r="AG124" i="3" s="1"/>
  <c r="AF125" i="3"/>
  <c r="AC6" i="20"/>
  <c r="AC3" i="20"/>
  <c r="AD4" i="20"/>
  <c r="AD5" i="20" s="1"/>
  <c r="AH9" i="3"/>
  <c r="AH115" i="3" s="1"/>
  <c r="AH83" i="3"/>
  <c r="AH98" i="3"/>
  <c r="AB172" i="1"/>
  <c r="AB171" i="1"/>
  <c r="AB6" i="1"/>
  <c r="AC4" i="1"/>
  <c r="AC5" i="1" s="1"/>
  <c r="AB3" i="1"/>
  <c r="AB6" i="16"/>
  <c r="AC4" i="16"/>
  <c r="AC5" i="16" s="1"/>
  <c r="AB3" i="16"/>
  <c r="AC3" i="15"/>
  <c r="AC6" i="15"/>
  <c r="AD4" i="15"/>
  <c r="AD5" i="15" s="1"/>
  <c r="AC4" i="14"/>
  <c r="AC5" i="14" s="1"/>
  <c r="AB3" i="14"/>
  <c r="AB6" i="14"/>
  <c r="R4" i="8"/>
  <c r="R5" i="8" s="1"/>
  <c r="Q3" i="8"/>
  <c r="Q6" i="8"/>
  <c r="AC3" i="22"/>
  <c r="AC6" i="22"/>
  <c r="AD4" i="22"/>
  <c r="AD5" i="22" s="1"/>
  <c r="AO22" i="25"/>
  <c r="AL12" i="5"/>
  <c r="AL11" i="5" s="1"/>
  <c r="N8" i="21" s="1"/>
  <c r="AM9" i="5"/>
  <c r="AM8" i="5" s="1"/>
  <c r="AA6" i="5"/>
  <c r="AB4" i="5"/>
  <c r="AB5" i="5" s="1"/>
  <c r="AA3" i="5"/>
  <c r="AC6" i="9"/>
  <c r="AD4" i="9"/>
  <c r="AD5" i="9" s="1"/>
  <c r="AC3" i="9"/>
  <c r="AB3" i="13"/>
  <c r="AB6" i="13"/>
  <c r="AC4" i="13"/>
  <c r="AC5" i="13" s="1"/>
  <c r="R51" i="12"/>
  <c r="R54" i="12"/>
  <c r="R50" i="12"/>
  <c r="R53" i="12"/>
  <c r="R52" i="12"/>
  <c r="S3" i="12"/>
  <c r="O15" i="18"/>
  <c r="O7" i="18" s="1"/>
  <c r="P20" i="18"/>
  <c r="P21" i="18" s="1"/>
  <c r="Q37" i="18"/>
  <c r="Q20" i="18" s="1"/>
  <c r="Q3" i="18"/>
  <c r="O16" i="21"/>
  <c r="N12" i="21"/>
  <c r="AL13" i="3"/>
  <c r="P4" i="21"/>
  <c r="P5" i="21" s="1"/>
  <c r="O11" i="21"/>
  <c r="O3" i="21"/>
  <c r="O6" i="21"/>
  <c r="AX181" i="1"/>
  <c r="O15" i="21"/>
  <c r="P66" i="21" l="1"/>
  <c r="O67" i="21"/>
  <c r="AB113" i="14"/>
  <c r="AG64" i="3"/>
  <c r="P14" i="21"/>
  <c r="AH81" i="3"/>
  <c r="AH84" i="3" s="1"/>
  <c r="AH92" i="3" s="1"/>
  <c r="AG93" i="3"/>
  <c r="AJ8" i="3"/>
  <c r="AJ97" i="3" s="1"/>
  <c r="AK4" i="3"/>
  <c r="AK5" i="3" s="1"/>
  <c r="AJ3" i="3"/>
  <c r="AJ6" i="3"/>
  <c r="AD6" i="20"/>
  <c r="AE4" i="20"/>
  <c r="AE5" i="20" s="1"/>
  <c r="AD3" i="20"/>
  <c r="AI9" i="3"/>
  <c r="AI115" i="3" s="1"/>
  <c r="AI83" i="3"/>
  <c r="AI98" i="3"/>
  <c r="AG108" i="3"/>
  <c r="AH96" i="3"/>
  <c r="AH99" i="3" s="1"/>
  <c r="AH107" i="3" s="1"/>
  <c r="AG125" i="3"/>
  <c r="AH113" i="3"/>
  <c r="AH116" i="3" s="1"/>
  <c r="AH124" i="3" s="1"/>
  <c r="AC171" i="1"/>
  <c r="AC172" i="1"/>
  <c r="AC6" i="1"/>
  <c r="AD4" i="1"/>
  <c r="AD5" i="1" s="1"/>
  <c r="AC3" i="1"/>
  <c r="AD4" i="16"/>
  <c r="AD5" i="16" s="1"/>
  <c r="AC6" i="16"/>
  <c r="AC3" i="16"/>
  <c r="AD3" i="15"/>
  <c r="AD6" i="15"/>
  <c r="AE4" i="15"/>
  <c r="AE5" i="15" s="1"/>
  <c r="AC3" i="14"/>
  <c r="AC6" i="14"/>
  <c r="AD4" i="14"/>
  <c r="AD5" i="14" s="1"/>
  <c r="S4" i="8"/>
  <c r="S5" i="8" s="1"/>
  <c r="R3" i="8"/>
  <c r="R6" i="8"/>
  <c r="AD3" i="22"/>
  <c r="AD6" i="22"/>
  <c r="AE4" i="22"/>
  <c r="AE5" i="22" s="1"/>
  <c r="AM13" i="3"/>
  <c r="AP22" i="25"/>
  <c r="AM12" i="5"/>
  <c r="AM11" i="5" s="1"/>
  <c r="O8" i="21" s="1"/>
  <c r="AN9" i="5"/>
  <c r="AN8" i="5" s="1"/>
  <c r="AC4" i="5"/>
  <c r="AC5" i="5" s="1"/>
  <c r="AB6" i="5"/>
  <c r="AB3" i="5"/>
  <c r="AD6" i="9"/>
  <c r="AE4" i="9"/>
  <c r="AE5" i="9" s="1"/>
  <c r="AD3" i="9"/>
  <c r="AC3" i="13"/>
  <c r="AC6" i="13"/>
  <c r="AD4" i="13"/>
  <c r="AD5" i="13" s="1"/>
  <c r="R62" i="12"/>
  <c r="S51" i="12"/>
  <c r="S54" i="12"/>
  <c r="S50" i="12"/>
  <c r="S53" i="12"/>
  <c r="S52" i="12"/>
  <c r="T3" i="12"/>
  <c r="P15" i="18"/>
  <c r="P7" i="18" s="1"/>
  <c r="Q21" i="18"/>
  <c r="R21" i="18"/>
  <c r="P15" i="21"/>
  <c r="R3" i="18"/>
  <c r="Q15" i="18" s="1"/>
  <c r="Q7" i="18" s="1"/>
  <c r="O12" i="21"/>
  <c r="K13" i="21"/>
  <c r="P3" i="21"/>
  <c r="P6" i="21"/>
  <c r="P11" i="21"/>
  <c r="Q4" i="21"/>
  <c r="Q5" i="21" s="1"/>
  <c r="AY181" i="1"/>
  <c r="P16" i="21"/>
  <c r="Q66" i="21" l="1"/>
  <c r="P67" i="21"/>
  <c r="AG66" i="3"/>
  <c r="AG67" i="3" s="1"/>
  <c r="AC113" i="14"/>
  <c r="Q14" i="21"/>
  <c r="AJ98" i="3"/>
  <c r="AJ83" i="3"/>
  <c r="AJ9" i="3"/>
  <c r="AJ115" i="3" s="1"/>
  <c r="AI81" i="3"/>
  <c r="AI84" i="3" s="1"/>
  <c r="AI92" i="3" s="1"/>
  <c r="AH93" i="3"/>
  <c r="AI96" i="3"/>
  <c r="AI99" i="3" s="1"/>
  <c r="AI107" i="3" s="1"/>
  <c r="AH108" i="3"/>
  <c r="AI113" i="3"/>
  <c r="AI116" i="3" s="1"/>
  <c r="AI124" i="3" s="1"/>
  <c r="AH125" i="3"/>
  <c r="AF4" i="20"/>
  <c r="AF5" i="20" s="1"/>
  <c r="AE3" i="20"/>
  <c r="AE6" i="20"/>
  <c r="AK8" i="3"/>
  <c r="AK97" i="3" s="1"/>
  <c r="AL4" i="3"/>
  <c r="AL5" i="3" s="1"/>
  <c r="AK6" i="3"/>
  <c r="AK3" i="3"/>
  <c r="AE4" i="1"/>
  <c r="AE5" i="1" s="1"/>
  <c r="AD3" i="1"/>
  <c r="AD6" i="1"/>
  <c r="AD3" i="16"/>
  <c r="AE4" i="16"/>
  <c r="AE5" i="16" s="1"/>
  <c r="AD6" i="16"/>
  <c r="AE3" i="15"/>
  <c r="AE6" i="15"/>
  <c r="AF4" i="15"/>
  <c r="AF5" i="15" s="1"/>
  <c r="AD3" i="14"/>
  <c r="AD6" i="14"/>
  <c r="AE4" i="14"/>
  <c r="AE5" i="14" s="1"/>
  <c r="T4" i="8"/>
  <c r="T5" i="8" s="1"/>
  <c r="S3" i="8"/>
  <c r="S6" i="8"/>
  <c r="AE3" i="22"/>
  <c r="AE6" i="22"/>
  <c r="AF4" i="22"/>
  <c r="AF5" i="22" s="1"/>
  <c r="AN13" i="3"/>
  <c r="AQ22" i="25"/>
  <c r="AN12" i="5"/>
  <c r="AO9" i="5"/>
  <c r="AO8" i="5" s="1"/>
  <c r="AD4" i="5"/>
  <c r="AD5" i="5" s="1"/>
  <c r="AC3" i="5"/>
  <c r="AC6" i="5"/>
  <c r="AE6" i="9"/>
  <c r="AF4" i="9"/>
  <c r="AF5" i="9" s="1"/>
  <c r="AE3" i="9"/>
  <c r="AD3" i="13"/>
  <c r="AD6" i="13"/>
  <c r="AE4" i="13"/>
  <c r="AE5" i="13" s="1"/>
  <c r="S62" i="12"/>
  <c r="T54" i="12"/>
  <c r="T50" i="12"/>
  <c r="T53" i="12"/>
  <c r="T52" i="12"/>
  <c r="T51" i="12"/>
  <c r="U3" i="12"/>
  <c r="Q15" i="21"/>
  <c r="S3" i="18"/>
  <c r="Q16" i="21"/>
  <c r="P12" i="21"/>
  <c r="AZ181" i="1"/>
  <c r="Q11" i="21"/>
  <c r="R4" i="21"/>
  <c r="R5" i="21" s="1"/>
  <c r="Q6" i="21"/>
  <c r="Q3" i="21"/>
  <c r="L13" i="21"/>
  <c r="R66" i="21" l="1"/>
  <c r="Q67" i="21"/>
  <c r="AG75" i="3"/>
  <c r="AG76" i="3" s="1"/>
  <c r="AH64" i="3"/>
  <c r="AD113" i="14"/>
  <c r="R14" i="21"/>
  <c r="AL6" i="3"/>
  <c r="AL8" i="3"/>
  <c r="AL97" i="3" s="1"/>
  <c r="AL3" i="3"/>
  <c r="AM4" i="3"/>
  <c r="AM5" i="3" s="1"/>
  <c r="AJ96" i="3"/>
  <c r="AJ99" i="3" s="1"/>
  <c r="AJ107" i="3" s="1"/>
  <c r="AI108" i="3"/>
  <c r="AK83" i="3"/>
  <c r="AK98" i="3"/>
  <c r="AK9" i="3"/>
  <c r="AK115" i="3" s="1"/>
  <c r="AF3" i="20"/>
  <c r="AF6" i="20"/>
  <c r="AG4" i="20"/>
  <c r="AG5" i="20" s="1"/>
  <c r="AJ81" i="3"/>
  <c r="AJ84" i="3" s="1"/>
  <c r="AJ92" i="3" s="1"/>
  <c r="AI93" i="3"/>
  <c r="AJ113" i="3"/>
  <c r="AJ116" i="3" s="1"/>
  <c r="AJ124" i="3" s="1"/>
  <c r="AI125" i="3"/>
  <c r="AE3" i="1"/>
  <c r="AE6" i="1"/>
  <c r="AF4" i="1"/>
  <c r="AF5" i="1" s="1"/>
  <c r="AE3" i="16"/>
  <c r="AE6" i="16"/>
  <c r="AF4" i="16"/>
  <c r="AF5" i="16" s="1"/>
  <c r="AF6" i="15"/>
  <c r="AG4" i="15"/>
  <c r="AG5" i="15" s="1"/>
  <c r="AF3" i="15"/>
  <c r="AE3" i="14"/>
  <c r="AE6" i="14"/>
  <c r="AF4" i="14"/>
  <c r="AF5" i="14" s="1"/>
  <c r="U4" i="8"/>
  <c r="U5" i="8" s="1"/>
  <c r="T3" i="8"/>
  <c r="T6" i="8"/>
  <c r="AF3" i="22"/>
  <c r="AF6" i="22"/>
  <c r="AG4" i="22"/>
  <c r="AG5" i="22" s="1"/>
  <c r="AR22" i="25"/>
  <c r="AO12" i="5"/>
  <c r="AO11" i="5" s="1"/>
  <c r="Q8" i="21" s="1"/>
  <c r="AP9" i="5"/>
  <c r="AP8" i="5" s="1"/>
  <c r="AN11" i="5"/>
  <c r="P8" i="21" s="1"/>
  <c r="AD3" i="5"/>
  <c r="AD6" i="5"/>
  <c r="AE4" i="5"/>
  <c r="AE5" i="5" s="1"/>
  <c r="AF6" i="9"/>
  <c r="AG4" i="9"/>
  <c r="AG5" i="9" s="1"/>
  <c r="AF3" i="9"/>
  <c r="AE6" i="13"/>
  <c r="AF4" i="13"/>
  <c r="AF5" i="13" s="1"/>
  <c r="AE3" i="13"/>
  <c r="T62" i="12"/>
  <c r="U53" i="12"/>
  <c r="U52" i="12"/>
  <c r="U51" i="12"/>
  <c r="U54" i="12"/>
  <c r="U50" i="12"/>
  <c r="V3" i="12"/>
  <c r="R15" i="18"/>
  <c r="R7" i="18" s="1"/>
  <c r="R6" i="21"/>
  <c r="R3" i="21"/>
  <c r="S4" i="21"/>
  <c r="S5" i="21" s="1"/>
  <c r="R11" i="21"/>
  <c r="R15" i="21"/>
  <c r="BA181" i="1"/>
  <c r="Q12" i="21"/>
  <c r="R16" i="21"/>
  <c r="M13" i="21"/>
  <c r="S66" i="21" l="1"/>
  <c r="R67" i="21"/>
  <c r="AH66" i="3"/>
  <c r="AH67" i="3" s="1"/>
  <c r="AE113" i="14"/>
  <c r="N13" i="21"/>
  <c r="S14" i="21"/>
  <c r="AJ125" i="3"/>
  <c r="AK113" i="3"/>
  <c r="AK116" i="3" s="1"/>
  <c r="AK124" i="3" s="1"/>
  <c r="AG6" i="20"/>
  <c r="AH4" i="20"/>
  <c r="AH5" i="20" s="1"/>
  <c r="AG3" i="20"/>
  <c r="AL98" i="3"/>
  <c r="AL9" i="3"/>
  <c r="AL115" i="3" s="1"/>
  <c r="AL83" i="3"/>
  <c r="AK96" i="3"/>
  <c r="AK99" i="3" s="1"/>
  <c r="AK107" i="3" s="1"/>
  <c r="AJ108" i="3"/>
  <c r="AK81" i="3"/>
  <c r="AK84" i="3" s="1"/>
  <c r="AK92" i="3" s="1"/>
  <c r="AJ93" i="3"/>
  <c r="AM3" i="3"/>
  <c r="AM6" i="3"/>
  <c r="AM8" i="3"/>
  <c r="AM97" i="3" s="1"/>
  <c r="AN4" i="3"/>
  <c r="AN5" i="3" s="1"/>
  <c r="AF3" i="1"/>
  <c r="AF6" i="1"/>
  <c r="AG4" i="1"/>
  <c r="AG5" i="1" s="1"/>
  <c r="AF3" i="16"/>
  <c r="AF6" i="16"/>
  <c r="AG4" i="16"/>
  <c r="AG5" i="16" s="1"/>
  <c r="AG6" i="15"/>
  <c r="AH4" i="15"/>
  <c r="AH5" i="15" s="1"/>
  <c r="AG3" i="15"/>
  <c r="AF3" i="14"/>
  <c r="AF6" i="14"/>
  <c r="AG4" i="14"/>
  <c r="AG5" i="14" s="1"/>
  <c r="U6" i="8"/>
  <c r="V4" i="8"/>
  <c r="V5" i="8" s="1"/>
  <c r="U3" i="8"/>
  <c r="AG3" i="22"/>
  <c r="AG6" i="22"/>
  <c r="AH4" i="22"/>
  <c r="AH5" i="22" s="1"/>
  <c r="AP13" i="3"/>
  <c r="AS22" i="25"/>
  <c r="AP12" i="5"/>
  <c r="AP11" i="5" s="1"/>
  <c r="R8" i="21" s="1"/>
  <c r="AQ9" i="5"/>
  <c r="AQ8" i="5" s="1"/>
  <c r="AO13" i="3"/>
  <c r="AE3" i="5"/>
  <c r="AE6" i="5"/>
  <c r="AF4" i="5"/>
  <c r="AF5" i="5" s="1"/>
  <c r="AG6" i="9"/>
  <c r="AH4" i="9"/>
  <c r="AH5" i="9" s="1"/>
  <c r="AG3" i="9"/>
  <c r="AF6" i="13"/>
  <c r="AG4" i="13"/>
  <c r="AG5" i="13" s="1"/>
  <c r="AF3" i="13"/>
  <c r="U62" i="12"/>
  <c r="V55" i="12"/>
  <c r="V64" i="12" s="1"/>
  <c r="V52" i="12"/>
  <c r="V51" i="12"/>
  <c r="V54" i="12"/>
  <c r="V50" i="12"/>
  <c r="V53" i="12"/>
  <c r="W3" i="12"/>
  <c r="S16" i="21"/>
  <c r="S15" i="21"/>
  <c r="T4" i="21"/>
  <c r="T5" i="21" s="1"/>
  <c r="S11" i="21"/>
  <c r="S6" i="21"/>
  <c r="S3" i="21"/>
  <c r="R12" i="21"/>
  <c r="T66" i="21" l="1"/>
  <c r="S67" i="21"/>
  <c r="AH75" i="3"/>
  <c r="AH76" i="3" s="1"/>
  <c r="AI64" i="3"/>
  <c r="AF113" i="14"/>
  <c r="T14" i="21"/>
  <c r="AK108" i="3"/>
  <c r="AL96" i="3"/>
  <c r="AL99" i="3" s="1"/>
  <c r="AL107" i="3" s="1"/>
  <c r="AM98" i="3"/>
  <c r="AM83" i="3"/>
  <c r="AM9" i="3"/>
  <c r="AM115" i="3" s="1"/>
  <c r="AL81" i="3"/>
  <c r="AL84" i="3" s="1"/>
  <c r="AL92" i="3" s="1"/>
  <c r="AK93" i="3"/>
  <c r="AL113" i="3"/>
  <c r="AL116" i="3" s="1"/>
  <c r="AL124" i="3" s="1"/>
  <c r="AK125" i="3"/>
  <c r="AN8" i="3"/>
  <c r="AN97" i="3" s="1"/>
  <c r="AO4" i="3"/>
  <c r="AO5" i="3" s="1"/>
  <c r="AN3" i="3"/>
  <c r="AN6" i="3"/>
  <c r="AH6" i="20"/>
  <c r="AI4" i="20"/>
  <c r="AI5" i="20" s="1"/>
  <c r="AH3" i="20"/>
  <c r="AG6" i="1"/>
  <c r="AG3" i="1"/>
  <c r="AH4" i="1"/>
  <c r="AH5" i="1" s="1"/>
  <c r="AG3" i="16"/>
  <c r="AG6" i="16"/>
  <c r="AH4" i="16"/>
  <c r="AH5" i="16" s="1"/>
  <c r="AI4" i="15"/>
  <c r="AI5" i="15" s="1"/>
  <c r="AH3" i="15"/>
  <c r="AH6" i="15"/>
  <c r="AG3" i="14"/>
  <c r="AG6" i="14"/>
  <c r="AH4" i="14"/>
  <c r="AH5" i="14" s="1"/>
  <c r="W4" i="8"/>
  <c r="W5" i="8" s="1"/>
  <c r="V3" i="8"/>
  <c r="V6" i="8"/>
  <c r="AH6" i="22"/>
  <c r="AI4" i="22"/>
  <c r="AI5" i="22" s="1"/>
  <c r="AH3" i="22"/>
  <c r="AQ13" i="3"/>
  <c r="AT22" i="25"/>
  <c r="AQ12" i="5"/>
  <c r="AQ11" i="5" s="1"/>
  <c r="S8" i="21" s="1"/>
  <c r="AR9" i="5"/>
  <c r="AR8" i="5" s="1"/>
  <c r="AF3" i="5"/>
  <c r="AF6" i="5"/>
  <c r="AG4" i="5"/>
  <c r="AG5" i="5" s="1"/>
  <c r="AI4" i="9"/>
  <c r="AI5" i="9" s="1"/>
  <c r="AH6" i="9"/>
  <c r="AH3" i="9"/>
  <c r="AH4" i="13"/>
  <c r="AH5" i="13" s="1"/>
  <c r="AG3" i="13"/>
  <c r="AG6" i="13"/>
  <c r="V62" i="12"/>
  <c r="W55" i="12"/>
  <c r="W64" i="12" s="1"/>
  <c r="W52" i="12"/>
  <c r="W51" i="12"/>
  <c r="W54" i="12"/>
  <c r="W50" i="12"/>
  <c r="W53" i="12"/>
  <c r="X3" i="12"/>
  <c r="T16" i="21"/>
  <c r="T15" i="21"/>
  <c r="O13" i="21"/>
  <c r="T3" i="21"/>
  <c r="T6" i="21"/>
  <c r="U4" i="21"/>
  <c r="U5" i="21" s="1"/>
  <c r="T11" i="21"/>
  <c r="S12" i="21"/>
  <c r="U66" i="21" l="1"/>
  <c r="T67" i="21"/>
  <c r="AI66" i="3"/>
  <c r="AI67" i="3" s="1"/>
  <c r="AG113" i="14"/>
  <c r="U14" i="21"/>
  <c r="AM81" i="3"/>
  <c r="AM84" i="3" s="1"/>
  <c r="AM92" i="3" s="1"/>
  <c r="AL93" i="3"/>
  <c r="AL108" i="3"/>
  <c r="AM96" i="3"/>
  <c r="AM99" i="3" s="1"/>
  <c r="AM107" i="3" s="1"/>
  <c r="AM113" i="3"/>
  <c r="AM116" i="3" s="1"/>
  <c r="AM124" i="3" s="1"/>
  <c r="AL125" i="3"/>
  <c r="AN98" i="3"/>
  <c r="AN9" i="3"/>
  <c r="AN115" i="3" s="1"/>
  <c r="AN83" i="3"/>
  <c r="AJ4" i="20"/>
  <c r="AJ5" i="20" s="1"/>
  <c r="AI3" i="20"/>
  <c r="AI6" i="20"/>
  <c r="AO8" i="3"/>
  <c r="AO97" i="3" s="1"/>
  <c r="AP4" i="3"/>
  <c r="AP5" i="3" s="1"/>
  <c r="AO6" i="3"/>
  <c r="AO3" i="3"/>
  <c r="AH3" i="1"/>
  <c r="AH6" i="1"/>
  <c r="AI4" i="1"/>
  <c r="AI5" i="1" s="1"/>
  <c r="AH3" i="16"/>
  <c r="AH6" i="16"/>
  <c r="AI4" i="16"/>
  <c r="AI5" i="16" s="1"/>
  <c r="AI3" i="15"/>
  <c r="AI6" i="15"/>
  <c r="AJ4" i="15"/>
  <c r="AJ5" i="15" s="1"/>
  <c r="AH6" i="14"/>
  <c r="AI4" i="14"/>
  <c r="AI5" i="14" s="1"/>
  <c r="AH3" i="14"/>
  <c r="X4" i="8"/>
  <c r="X5" i="8" s="1"/>
  <c r="W3" i="8"/>
  <c r="W6" i="8"/>
  <c r="AI6" i="22"/>
  <c r="AJ4" i="22"/>
  <c r="AJ5" i="22" s="1"/>
  <c r="AI3" i="22"/>
  <c r="AR13" i="3"/>
  <c r="AU22" i="25"/>
  <c r="AR12" i="5"/>
  <c r="AR11" i="5" s="1"/>
  <c r="T8" i="21" s="1"/>
  <c r="AS9" i="5"/>
  <c r="AS8" i="5" s="1"/>
  <c r="AG3" i="5"/>
  <c r="AG6" i="5"/>
  <c r="AH4" i="5"/>
  <c r="AH5" i="5" s="1"/>
  <c r="AI3" i="9"/>
  <c r="AI6" i="9"/>
  <c r="AJ4" i="9"/>
  <c r="AJ5" i="9" s="1"/>
  <c r="AH3" i="13"/>
  <c r="AH6" i="13"/>
  <c r="AI4" i="13"/>
  <c r="AI5" i="13" s="1"/>
  <c r="W62" i="12"/>
  <c r="X51" i="12"/>
  <c r="X54" i="12"/>
  <c r="X50" i="12"/>
  <c r="X53" i="12"/>
  <c r="X55" i="12"/>
  <c r="X64" i="12" s="1"/>
  <c r="X52" i="12"/>
  <c r="Y3" i="12"/>
  <c r="U11" i="21"/>
  <c r="V4" i="21"/>
  <c r="V5" i="21" s="1"/>
  <c r="U3" i="21"/>
  <c r="U6" i="21"/>
  <c r="P13" i="21"/>
  <c r="U15" i="21"/>
  <c r="T12" i="21"/>
  <c r="U16" i="21"/>
  <c r="V66" i="21" l="1"/>
  <c r="U67" i="21"/>
  <c r="AI75" i="3"/>
  <c r="AI76" i="3" s="1"/>
  <c r="AJ64" i="3"/>
  <c r="AH113" i="14"/>
  <c r="V14" i="21"/>
  <c r="AP6" i="3"/>
  <c r="AP8" i="3"/>
  <c r="AP97" i="3" s="1"/>
  <c r="AQ4" i="3"/>
  <c r="AQ5" i="3" s="1"/>
  <c r="AP3" i="3"/>
  <c r="AJ3" i="20"/>
  <c r="AK4" i="20"/>
  <c r="AK5" i="20" s="1"/>
  <c r="AJ6" i="20"/>
  <c r="AO98" i="3"/>
  <c r="AO83" i="3"/>
  <c r="AO9" i="3"/>
  <c r="AO115" i="3" s="1"/>
  <c r="AN96" i="3"/>
  <c r="AN99" i="3" s="1"/>
  <c r="AN107" i="3" s="1"/>
  <c r="AM108" i="3"/>
  <c r="AM125" i="3"/>
  <c r="AN113" i="3"/>
  <c r="AN116" i="3" s="1"/>
  <c r="AN124" i="3" s="1"/>
  <c r="AN81" i="3"/>
  <c r="AN84" i="3" s="1"/>
  <c r="AN92" i="3" s="1"/>
  <c r="AM93" i="3"/>
  <c r="AI3" i="1"/>
  <c r="AJ4" i="1"/>
  <c r="AJ5" i="1" s="1"/>
  <c r="AI6" i="1"/>
  <c r="AI6" i="16"/>
  <c r="AJ4" i="16"/>
  <c r="AJ5" i="16" s="1"/>
  <c r="AI3" i="16"/>
  <c r="AJ3" i="15"/>
  <c r="AJ6" i="15"/>
  <c r="AK4" i="15"/>
  <c r="AK5" i="15" s="1"/>
  <c r="AI6" i="14"/>
  <c r="AJ4" i="14"/>
  <c r="AJ5" i="14" s="1"/>
  <c r="AI3" i="14"/>
  <c r="Y4" i="8"/>
  <c r="Y5" i="8" s="1"/>
  <c r="X3" i="8"/>
  <c r="X6" i="8"/>
  <c r="AK4" i="22"/>
  <c r="AK5" i="22" s="1"/>
  <c r="AJ3" i="22"/>
  <c r="AJ6" i="22"/>
  <c r="AV22" i="25"/>
  <c r="AS12" i="5"/>
  <c r="AS11" i="5" s="1"/>
  <c r="U8" i="21" s="1"/>
  <c r="AT9" i="5"/>
  <c r="AT8" i="5" s="1"/>
  <c r="AH3" i="5"/>
  <c r="AH6" i="5"/>
  <c r="AI4" i="5"/>
  <c r="AI5" i="5" s="1"/>
  <c r="AJ6" i="9"/>
  <c r="AK4" i="9"/>
  <c r="AK5" i="9" s="1"/>
  <c r="AJ3" i="9"/>
  <c r="AI3" i="13"/>
  <c r="AI6" i="13"/>
  <c r="AJ4" i="13"/>
  <c r="AJ5" i="13" s="1"/>
  <c r="X62" i="12"/>
  <c r="Y51" i="12"/>
  <c r="Y54" i="12"/>
  <c r="Y50" i="12"/>
  <c r="Y53" i="12"/>
  <c r="Y55" i="12"/>
  <c r="Y64" i="12" s="1"/>
  <c r="Y52" i="12"/>
  <c r="Z3" i="12"/>
  <c r="V16" i="21"/>
  <c r="V15" i="21"/>
  <c r="U12" i="21"/>
  <c r="V6" i="21"/>
  <c r="V3" i="21"/>
  <c r="V11" i="21"/>
  <c r="W4" i="21"/>
  <c r="W5" i="21" s="1"/>
  <c r="AS13" i="3"/>
  <c r="Q13" i="21"/>
  <c r="W66" i="21" l="1"/>
  <c r="V67" i="21"/>
  <c r="AJ66" i="3"/>
  <c r="AJ67" i="3" s="1"/>
  <c r="AI113" i="14"/>
  <c r="W14" i="21"/>
  <c r="AO81" i="3"/>
  <c r="AO84" i="3" s="1"/>
  <c r="AO92" i="3" s="1"/>
  <c r="AN93" i="3"/>
  <c r="AO96" i="3"/>
  <c r="AO99" i="3" s="1"/>
  <c r="AO107" i="3" s="1"/>
  <c r="AN108" i="3"/>
  <c r="AP83" i="3"/>
  <c r="AP98" i="3"/>
  <c r="AP9" i="3"/>
  <c r="AP115" i="3" s="1"/>
  <c r="AO113" i="3"/>
  <c r="AO116" i="3" s="1"/>
  <c r="AO124" i="3" s="1"/>
  <c r="AN125" i="3"/>
  <c r="AQ3" i="3"/>
  <c r="AR4" i="3"/>
  <c r="AR5" i="3" s="1"/>
  <c r="AQ6" i="3"/>
  <c r="AQ8" i="3"/>
  <c r="AQ97" i="3" s="1"/>
  <c r="AK6" i="20"/>
  <c r="AK3" i="20"/>
  <c r="AL4" i="20"/>
  <c r="AL5" i="20" s="1"/>
  <c r="AK4" i="1"/>
  <c r="AK5" i="1" s="1"/>
  <c r="AJ6" i="1"/>
  <c r="AJ3" i="1"/>
  <c r="AJ6" i="16"/>
  <c r="AK4" i="16"/>
  <c r="AK5" i="16" s="1"/>
  <c r="AJ3" i="16"/>
  <c r="AK3" i="15"/>
  <c r="AK6" i="15"/>
  <c r="AL4" i="15"/>
  <c r="AL5" i="15" s="1"/>
  <c r="AK4" i="14"/>
  <c r="AK5" i="14" s="1"/>
  <c r="AJ3" i="14"/>
  <c r="AJ6" i="14"/>
  <c r="Z4" i="8"/>
  <c r="Z5" i="8" s="1"/>
  <c r="Y3" i="8"/>
  <c r="Y6" i="8"/>
  <c r="AK3" i="22"/>
  <c r="AK6" i="22"/>
  <c r="AL4" i="22"/>
  <c r="AL5" i="22" s="1"/>
  <c r="AT13" i="3"/>
  <c r="AW22" i="25"/>
  <c r="AT12" i="5"/>
  <c r="AT11" i="5" s="1"/>
  <c r="V8" i="21" s="1"/>
  <c r="AU9" i="5"/>
  <c r="AU8" i="5" s="1"/>
  <c r="AI6" i="5"/>
  <c r="AJ4" i="5"/>
  <c r="AJ5" i="5" s="1"/>
  <c r="AI3" i="5"/>
  <c r="AK3" i="9"/>
  <c r="AK6" i="9"/>
  <c r="AL4" i="9"/>
  <c r="AL5" i="9" s="1"/>
  <c r="AJ3" i="13"/>
  <c r="AJ6" i="13"/>
  <c r="AK4" i="13"/>
  <c r="AK5" i="13" s="1"/>
  <c r="Y62" i="12"/>
  <c r="Z51" i="12"/>
  <c r="Z54" i="12"/>
  <c r="Z50" i="12"/>
  <c r="Z53" i="12"/>
  <c r="Z55" i="12"/>
  <c r="Z64" i="12" s="1"/>
  <c r="Z52" i="12"/>
  <c r="Z49" i="12"/>
  <c r="AA3" i="12"/>
  <c r="W15" i="21"/>
  <c r="X4" i="21"/>
  <c r="X5" i="21" s="1"/>
  <c r="W11" i="21"/>
  <c r="W3" i="21"/>
  <c r="W6" i="21"/>
  <c r="W16" i="21"/>
  <c r="R13" i="21"/>
  <c r="V12" i="21"/>
  <c r="X66" i="21" l="1"/>
  <c r="W67" i="21"/>
  <c r="AJ75" i="3"/>
  <c r="AJ76" i="3" s="1"/>
  <c r="AK64" i="3"/>
  <c r="AJ113" i="14"/>
  <c r="X14" i="21"/>
  <c r="AO108" i="3"/>
  <c r="AP96" i="3"/>
  <c r="AP99" i="3" s="1"/>
  <c r="AP107" i="3" s="1"/>
  <c r="AR8" i="3"/>
  <c r="AR97" i="3" s="1"/>
  <c r="AS4" i="3"/>
  <c r="AS5" i="3" s="1"/>
  <c r="AR6" i="3"/>
  <c r="AR3" i="3"/>
  <c r="AO125" i="3"/>
  <c r="AP113" i="3"/>
  <c r="AP116" i="3" s="1"/>
  <c r="AP124" i="3" s="1"/>
  <c r="AQ83" i="3"/>
  <c r="AQ98" i="3"/>
  <c r="AQ9" i="3"/>
  <c r="AQ115" i="3" s="1"/>
  <c r="AP81" i="3"/>
  <c r="AP84" i="3" s="1"/>
  <c r="AP92" i="3" s="1"/>
  <c r="AO93" i="3"/>
  <c r="AL6" i="20"/>
  <c r="AM4" i="20"/>
  <c r="AM5" i="20" s="1"/>
  <c r="AL3" i="20"/>
  <c r="AC36" i="16"/>
  <c r="AC39" i="16" s="1"/>
  <c r="AB36" i="16"/>
  <c r="AB39" i="16" s="1"/>
  <c r="V36" i="16"/>
  <c r="V39" i="16" s="1"/>
  <c r="AA36" i="16"/>
  <c r="AA39" i="16" s="1"/>
  <c r="Z36" i="16"/>
  <c r="Z39" i="16" s="1"/>
  <c r="Y36" i="16"/>
  <c r="Y39" i="16" s="1"/>
  <c r="X36" i="16"/>
  <c r="X39" i="16" s="1"/>
  <c r="W36" i="16"/>
  <c r="W39" i="16" s="1"/>
  <c r="AK6" i="1"/>
  <c r="AL4" i="1"/>
  <c r="AL5" i="1" s="1"/>
  <c r="AK3" i="1"/>
  <c r="AL4" i="16"/>
  <c r="AL5" i="16" s="1"/>
  <c r="AK6" i="16"/>
  <c r="AK3" i="16"/>
  <c r="AL3" i="15"/>
  <c r="AL6" i="15"/>
  <c r="AM4" i="15"/>
  <c r="AM5" i="15" s="1"/>
  <c r="AK3" i="14"/>
  <c r="AK113" i="14" s="1"/>
  <c r="AK6" i="14"/>
  <c r="AL4" i="14"/>
  <c r="AL5" i="14" s="1"/>
  <c r="AA4" i="8"/>
  <c r="AA5" i="8" s="1"/>
  <c r="Z3" i="8"/>
  <c r="Z6" i="8"/>
  <c r="AL3" i="22"/>
  <c r="AL6" i="22"/>
  <c r="AM4" i="22"/>
  <c r="AM5" i="22" s="1"/>
  <c r="AU13" i="3"/>
  <c r="AX22" i="25"/>
  <c r="AU12" i="5"/>
  <c r="AU11" i="5" s="1"/>
  <c r="W8" i="21" s="1"/>
  <c r="AV9" i="5"/>
  <c r="AV8" i="5" s="1"/>
  <c r="AK4" i="5"/>
  <c r="AK5" i="5" s="1"/>
  <c r="AJ6" i="5"/>
  <c r="AJ3" i="5"/>
  <c r="AL3" i="9"/>
  <c r="AL6" i="9"/>
  <c r="AM4" i="9"/>
  <c r="AM5" i="9" s="1"/>
  <c r="AK3" i="13"/>
  <c r="AK6" i="13"/>
  <c r="AL4" i="13"/>
  <c r="AL5" i="13" s="1"/>
  <c r="Z63" i="12"/>
  <c r="Z62" i="12"/>
  <c r="AA51" i="12"/>
  <c r="AA54" i="12"/>
  <c r="AA50" i="12"/>
  <c r="AA53" i="12"/>
  <c r="AA55" i="12"/>
  <c r="AA64" i="12" s="1"/>
  <c r="AA52" i="12"/>
  <c r="AA49" i="12"/>
  <c r="X15" i="21"/>
  <c r="X16" i="21"/>
  <c r="S13" i="21"/>
  <c r="W12" i="21"/>
  <c r="X3" i="21"/>
  <c r="X6" i="21"/>
  <c r="X11" i="21"/>
  <c r="Y4" i="21"/>
  <c r="Y5" i="21" s="1"/>
  <c r="Y66" i="21" l="1"/>
  <c r="X67" i="21"/>
  <c r="AK66" i="3"/>
  <c r="AK67" i="3" s="1"/>
  <c r="T13" i="21"/>
  <c r="Y14" i="21"/>
  <c r="AQ96" i="3"/>
  <c r="AQ99" i="3" s="1"/>
  <c r="AQ107" i="3" s="1"/>
  <c r="AP108" i="3"/>
  <c r="AR83" i="3"/>
  <c r="AR9" i="3"/>
  <c r="AR115" i="3" s="1"/>
  <c r="AR98" i="3"/>
  <c r="AN4" i="20"/>
  <c r="AN5" i="20" s="1"/>
  <c r="AM3" i="20"/>
  <c r="AM6" i="20"/>
  <c r="AQ81" i="3"/>
  <c r="AQ84" i="3" s="1"/>
  <c r="AQ92" i="3" s="1"/>
  <c r="AP93" i="3"/>
  <c r="AP125" i="3"/>
  <c r="AQ113" i="3"/>
  <c r="AQ116" i="3" s="1"/>
  <c r="AQ124" i="3" s="1"/>
  <c r="AS8" i="3"/>
  <c r="AS97" i="3" s="1"/>
  <c r="AT4" i="3"/>
  <c r="AT5" i="3" s="1"/>
  <c r="AS6" i="3"/>
  <c r="AS3" i="3"/>
  <c r="AM4" i="1"/>
  <c r="AM5" i="1" s="1"/>
  <c r="AL3" i="1"/>
  <c r="AL6" i="1"/>
  <c r="AM4" i="16"/>
  <c r="AM5" i="16" s="1"/>
  <c r="AL3" i="16"/>
  <c r="AL6" i="16"/>
  <c r="AM3" i="15"/>
  <c r="AM6" i="15"/>
  <c r="AN4" i="15"/>
  <c r="AN5" i="15" s="1"/>
  <c r="AL3" i="14"/>
  <c r="AL113" i="14" s="1"/>
  <c r="AL6" i="14"/>
  <c r="AM4" i="14"/>
  <c r="AM5" i="14" s="1"/>
  <c r="AB4" i="8"/>
  <c r="AB5" i="8" s="1"/>
  <c r="AA3" i="8"/>
  <c r="AA6" i="8"/>
  <c r="AM3" i="22"/>
  <c r="AM6" i="22"/>
  <c r="AN4" i="22"/>
  <c r="AN5" i="22" s="1"/>
  <c r="AV13" i="3"/>
  <c r="AY22" i="25"/>
  <c r="AV12" i="5"/>
  <c r="AV11" i="5" s="1"/>
  <c r="X8" i="21" s="1"/>
  <c r="AW9" i="5"/>
  <c r="AW8" i="5" s="1"/>
  <c r="AL4" i="5"/>
  <c r="AL5" i="5" s="1"/>
  <c r="AK3" i="5"/>
  <c r="AK6" i="5"/>
  <c r="AM3" i="9"/>
  <c r="AM6" i="9"/>
  <c r="AN4" i="9"/>
  <c r="AN5" i="9" s="1"/>
  <c r="AL3" i="13"/>
  <c r="AL6" i="13"/>
  <c r="AM4" i="13"/>
  <c r="AM5" i="13" s="1"/>
  <c r="AA63" i="12"/>
  <c r="AA62" i="12"/>
  <c r="Y16" i="21"/>
  <c r="X12" i="21"/>
  <c r="Y11" i="21"/>
  <c r="Z4" i="21"/>
  <c r="Z5" i="21" s="1"/>
  <c r="Y3" i="21"/>
  <c r="Y6" i="21"/>
  <c r="Y15" i="21"/>
  <c r="Z66" i="21" l="1"/>
  <c r="Y67" i="21"/>
  <c r="AK75" i="3"/>
  <c r="AK76" i="3" s="1"/>
  <c r="AL64" i="3"/>
  <c r="U13" i="21"/>
  <c r="Z14" i="21"/>
  <c r="AS98" i="3"/>
  <c r="AS9" i="3"/>
  <c r="AS115" i="3" s="1"/>
  <c r="AS83" i="3"/>
  <c r="AQ125" i="3"/>
  <c r="AR113" i="3"/>
  <c r="AR116" i="3" s="1"/>
  <c r="AR124" i="3" s="1"/>
  <c r="AN3" i="20"/>
  <c r="AN6" i="20"/>
  <c r="AO4" i="20"/>
  <c r="AO5" i="20" s="1"/>
  <c r="AQ108" i="3"/>
  <c r="AR96" i="3"/>
  <c r="AR99" i="3" s="1"/>
  <c r="AR107" i="3" s="1"/>
  <c r="AT6" i="3"/>
  <c r="AT3" i="3"/>
  <c r="AT8" i="3"/>
  <c r="AT97" i="3" s="1"/>
  <c r="AU4" i="3"/>
  <c r="AU5" i="3" s="1"/>
  <c r="AR81" i="3"/>
  <c r="AR84" i="3" s="1"/>
  <c r="AR92" i="3" s="1"/>
  <c r="AQ93" i="3"/>
  <c r="AM6" i="1"/>
  <c r="AM3" i="1"/>
  <c r="AN4" i="1"/>
  <c r="AN5" i="1" s="1"/>
  <c r="AM3" i="16"/>
  <c r="AM6" i="16"/>
  <c r="AN4" i="16"/>
  <c r="AN5" i="16" s="1"/>
  <c r="AN6" i="15"/>
  <c r="AO4" i="15"/>
  <c r="AO5" i="15" s="1"/>
  <c r="AN3" i="15"/>
  <c r="AM3" i="14"/>
  <c r="AM113" i="14" s="1"/>
  <c r="AM6" i="14"/>
  <c r="AN4" i="14"/>
  <c r="AN5" i="14" s="1"/>
  <c r="AC4" i="8"/>
  <c r="AC5" i="8" s="1"/>
  <c r="AB3" i="8"/>
  <c r="AB6" i="8"/>
  <c r="AN3" i="22"/>
  <c r="AN6" i="22"/>
  <c r="AO4" i="22"/>
  <c r="AO5" i="22" s="1"/>
  <c r="AZ22" i="25"/>
  <c r="AX9" i="5"/>
  <c r="AX8" i="5" s="1"/>
  <c r="AW12" i="5"/>
  <c r="AW11" i="5" s="1"/>
  <c r="Y8" i="21" s="1"/>
  <c r="AL3" i="5"/>
  <c r="AL6" i="5"/>
  <c r="AM4" i="5"/>
  <c r="AM5" i="5" s="1"/>
  <c r="AN6" i="9"/>
  <c r="AO4" i="9"/>
  <c r="AO5" i="9" s="1"/>
  <c r="AN3" i="9"/>
  <c r="AM6" i="13"/>
  <c r="AN4" i="13"/>
  <c r="AN5" i="13" s="1"/>
  <c r="AM3" i="13"/>
  <c r="Z16" i="21"/>
  <c r="Z15" i="21"/>
  <c r="Y12" i="21"/>
  <c r="AW13" i="3"/>
  <c r="Z6" i="21"/>
  <c r="Z3" i="21"/>
  <c r="AA4" i="21"/>
  <c r="AA5" i="21" s="1"/>
  <c r="Z11" i="21"/>
  <c r="AA66" i="21" l="1"/>
  <c r="Z67" i="21"/>
  <c r="AL66" i="3"/>
  <c r="AL67" i="3" s="1"/>
  <c r="V13" i="21"/>
  <c r="AA14" i="21"/>
  <c r="AU3" i="3"/>
  <c r="AU6" i="3"/>
  <c r="AU8" i="3"/>
  <c r="AU97" i="3" s="1"/>
  <c r="AV4" i="3"/>
  <c r="AV5" i="3" s="1"/>
  <c r="AS113" i="3"/>
  <c r="AS116" i="3" s="1"/>
  <c r="AS124" i="3" s="1"/>
  <c r="AR125" i="3"/>
  <c r="AS96" i="3"/>
  <c r="AS99" i="3" s="1"/>
  <c r="AS107" i="3" s="1"/>
  <c r="AR108" i="3"/>
  <c r="AS81" i="3"/>
  <c r="AS84" i="3" s="1"/>
  <c r="AS92" i="3" s="1"/>
  <c r="AR93" i="3"/>
  <c r="AT98" i="3"/>
  <c r="AT83" i="3"/>
  <c r="AT9" i="3"/>
  <c r="AT115" i="3" s="1"/>
  <c r="AO6" i="20"/>
  <c r="AP4" i="20"/>
  <c r="AP5" i="20" s="1"/>
  <c r="AO3" i="20"/>
  <c r="AN3" i="1"/>
  <c r="AO4" i="1"/>
  <c r="AO5" i="1" s="1"/>
  <c r="AN6" i="1"/>
  <c r="AN3" i="16"/>
  <c r="AN6" i="16"/>
  <c r="AO4" i="16"/>
  <c r="AO5" i="16" s="1"/>
  <c r="AO6" i="15"/>
  <c r="AP4" i="15"/>
  <c r="AP5" i="15" s="1"/>
  <c r="AO3" i="15"/>
  <c r="AN3" i="14"/>
  <c r="AN113" i="14" s="1"/>
  <c r="AN6" i="14"/>
  <c r="AO4" i="14"/>
  <c r="AO5" i="14" s="1"/>
  <c r="AC6" i="8"/>
  <c r="AC3" i="8"/>
  <c r="AO3" i="22"/>
  <c r="AO6" i="22"/>
  <c r="AP4" i="22"/>
  <c r="AP5" i="22" s="1"/>
  <c r="AX13" i="3"/>
  <c r="AX12" i="5"/>
  <c r="AX11" i="5" s="1"/>
  <c r="Z8" i="21" s="1"/>
  <c r="AY9" i="5"/>
  <c r="AY8" i="5" s="1"/>
  <c r="AM3" i="5"/>
  <c r="AM6" i="5"/>
  <c r="AN4" i="5"/>
  <c r="AN5" i="5" s="1"/>
  <c r="AO6" i="9"/>
  <c r="AP4" i="9"/>
  <c r="AP5" i="9" s="1"/>
  <c r="AO3" i="9"/>
  <c r="AN6" i="13"/>
  <c r="AO4" i="13"/>
  <c r="AO5" i="13" s="1"/>
  <c r="AN3" i="13"/>
  <c r="AA16" i="21"/>
  <c r="Z12" i="21"/>
  <c r="AB4" i="21"/>
  <c r="AB5" i="21" s="1"/>
  <c r="AA3" i="21"/>
  <c r="AA11" i="21"/>
  <c r="AA6" i="21"/>
  <c r="AA15" i="21"/>
  <c r="AB66" i="21" l="1"/>
  <c r="AA67" i="21"/>
  <c r="AL75" i="3"/>
  <c r="AL76" i="3" s="1"/>
  <c r="AM64" i="3"/>
  <c r="AF206" i="1"/>
  <c r="AF205" i="1" s="1"/>
  <c r="AD206" i="1"/>
  <c r="AD205" i="1" s="1"/>
  <c r="AH206" i="1"/>
  <c r="AH205" i="1" s="1"/>
  <c r="AN206" i="1"/>
  <c r="AN205" i="1" s="1"/>
  <c r="AL206" i="1"/>
  <c r="AL205" i="1" s="1"/>
  <c r="AM206" i="1"/>
  <c r="AM205" i="1" s="1"/>
  <c r="AI202" i="1"/>
  <c r="AI201" i="1" s="1"/>
  <c r="AE206" i="1"/>
  <c r="AE205" i="1" s="1"/>
  <c r="AG206" i="1"/>
  <c r="AG205" i="1" s="1"/>
  <c r="AJ206" i="1"/>
  <c r="AJ205" i="1" s="1"/>
  <c r="AI206" i="1"/>
  <c r="AI205" i="1" s="1"/>
  <c r="AK206" i="1"/>
  <c r="AK205" i="1" s="1"/>
  <c r="AG202" i="1"/>
  <c r="AG201" i="1" s="1"/>
  <c r="AN202" i="1"/>
  <c r="AN201" i="1" s="1"/>
  <c r="AF202" i="1"/>
  <c r="AF201" i="1" s="1"/>
  <c r="AM202" i="1"/>
  <c r="AM201" i="1" s="1"/>
  <c r="AL202" i="1"/>
  <c r="AL201" i="1" s="1"/>
  <c r="AE202" i="1"/>
  <c r="AE201" i="1" s="1"/>
  <c r="AK202" i="1"/>
  <c r="AK201" i="1" s="1"/>
  <c r="AD202" i="1"/>
  <c r="AD201" i="1" s="1"/>
  <c r="AJ202" i="1"/>
  <c r="AJ201" i="1" s="1"/>
  <c r="AH202" i="1"/>
  <c r="AH201" i="1" s="1"/>
  <c r="W13" i="21"/>
  <c r="AB14" i="21"/>
  <c r="AS108" i="3"/>
  <c r="AT96" i="3"/>
  <c r="AT99" i="3" s="1"/>
  <c r="AT107" i="3" s="1"/>
  <c r="AU9" i="3"/>
  <c r="AU115" i="3" s="1"/>
  <c r="AU83" i="3"/>
  <c r="AU98" i="3"/>
  <c r="AP6" i="20"/>
  <c r="AQ4" i="20"/>
  <c r="AQ5" i="20" s="1"/>
  <c r="AP3" i="20"/>
  <c r="AT81" i="3"/>
  <c r="AT84" i="3" s="1"/>
  <c r="AT92" i="3" s="1"/>
  <c r="AS93" i="3"/>
  <c r="AV8" i="3"/>
  <c r="AV97" i="3" s="1"/>
  <c r="AW4" i="3"/>
  <c r="AW5" i="3" s="1"/>
  <c r="AV6" i="3"/>
  <c r="AV3" i="3"/>
  <c r="AT113" i="3"/>
  <c r="AT116" i="3" s="1"/>
  <c r="AT124" i="3" s="1"/>
  <c r="AS125" i="3"/>
  <c r="AO6" i="1"/>
  <c r="AP4" i="1"/>
  <c r="AP5" i="1" s="1"/>
  <c r="AO3" i="1"/>
  <c r="AO202" i="1" s="1"/>
  <c r="AO201" i="1" s="1"/>
  <c r="AO3" i="16"/>
  <c r="AO6" i="16"/>
  <c r="AP4" i="16"/>
  <c r="AP5" i="16" s="1"/>
  <c r="AQ4" i="15"/>
  <c r="AQ5" i="15" s="1"/>
  <c r="AP3" i="15"/>
  <c r="AP6" i="15"/>
  <c r="AO3" i="14"/>
  <c r="AO113" i="14" s="1"/>
  <c r="AO6" i="14"/>
  <c r="AP4" i="14"/>
  <c r="AP5" i="14" s="1"/>
  <c r="AP6" i="22"/>
  <c r="AQ4" i="22"/>
  <c r="AQ5" i="22" s="1"/>
  <c r="AP3" i="22"/>
  <c r="AY13" i="3"/>
  <c r="AY12" i="5"/>
  <c r="AY11" i="5" s="1"/>
  <c r="AA8" i="21" s="1"/>
  <c r="AZ9" i="5"/>
  <c r="AZ8" i="5" s="1"/>
  <c r="AN3" i="5"/>
  <c r="AN6" i="5"/>
  <c r="AO4" i="5"/>
  <c r="AO5" i="5" s="1"/>
  <c r="AQ4" i="9"/>
  <c r="AQ5" i="9" s="1"/>
  <c r="AP6" i="9"/>
  <c r="AP3" i="9"/>
  <c r="AP4" i="13"/>
  <c r="AP5" i="13" s="1"/>
  <c r="AO3" i="13"/>
  <c r="AO6" i="13"/>
  <c r="AB15" i="21"/>
  <c r="AA12" i="21"/>
  <c r="AB3" i="21"/>
  <c r="AB11" i="21"/>
  <c r="AB6" i="21"/>
  <c r="AB16" i="21"/>
  <c r="AB67" i="21" l="1"/>
  <c r="AM66" i="3"/>
  <c r="AM67" i="3" s="1"/>
  <c r="AJ194" i="1"/>
  <c r="AO206" i="1"/>
  <c r="AO205" i="1" s="1"/>
  <c r="AG194" i="1"/>
  <c r="AD194" i="1"/>
  <c r="AE194" i="1"/>
  <c r="AK194" i="1"/>
  <c r="AH194" i="1"/>
  <c r="AF194" i="1"/>
  <c r="AI194" i="1"/>
  <c r="X13" i="21"/>
  <c r="AR4" i="20"/>
  <c r="AR5" i="20" s="1"/>
  <c r="AQ3" i="20"/>
  <c r="AQ6" i="20"/>
  <c r="AV83" i="3"/>
  <c r="AV98" i="3"/>
  <c r="AV9" i="3"/>
  <c r="AV115" i="3" s="1"/>
  <c r="AU96" i="3"/>
  <c r="AU99" i="3" s="1"/>
  <c r="AU107" i="3" s="1"/>
  <c r="AT108" i="3"/>
  <c r="AU81" i="3"/>
  <c r="AU84" i="3" s="1"/>
  <c r="AU92" i="3" s="1"/>
  <c r="AT93" i="3"/>
  <c r="AT125" i="3"/>
  <c r="AU113" i="3"/>
  <c r="AU116" i="3" s="1"/>
  <c r="AU124" i="3" s="1"/>
  <c r="AW8" i="3"/>
  <c r="AW97" i="3" s="1"/>
  <c r="AX4" i="3"/>
  <c r="AX5" i="3" s="1"/>
  <c r="AW6" i="3"/>
  <c r="AW3" i="3"/>
  <c r="AP3" i="1"/>
  <c r="AP6" i="1"/>
  <c r="AQ4" i="1"/>
  <c r="AQ5" i="1" s="1"/>
  <c r="AP3" i="16"/>
  <c r="AP6" i="16"/>
  <c r="AQ4" i="16"/>
  <c r="AQ5" i="16" s="1"/>
  <c r="AQ3" i="15"/>
  <c r="AQ6" i="15"/>
  <c r="AR4" i="15"/>
  <c r="AR5" i="15" s="1"/>
  <c r="AP6" i="14"/>
  <c r="AQ4" i="14"/>
  <c r="AQ5" i="14" s="1"/>
  <c r="AP3" i="14"/>
  <c r="AP113" i="14" s="1"/>
  <c r="AQ6" i="22"/>
  <c r="AR4" i="22"/>
  <c r="AR5" i="22" s="1"/>
  <c r="AQ3" i="22"/>
  <c r="AZ12" i="5"/>
  <c r="AZ11" i="5" s="1"/>
  <c r="AB8" i="21" s="1"/>
  <c r="AO3" i="5"/>
  <c r="AO6" i="5"/>
  <c r="AP4" i="5"/>
  <c r="AP5" i="5" s="1"/>
  <c r="AQ3" i="9"/>
  <c r="AQ6" i="9"/>
  <c r="AR4" i="9"/>
  <c r="AR5" i="9" s="1"/>
  <c r="AP3" i="13"/>
  <c r="AP6" i="13"/>
  <c r="AQ4" i="13"/>
  <c r="AQ5" i="13" s="1"/>
  <c r="AZ13" i="3"/>
  <c r="AB12" i="21"/>
  <c r="AM75" i="3" l="1"/>
  <c r="AM76" i="3" s="1"/>
  <c r="AN64" i="3"/>
  <c r="AP206" i="1"/>
  <c r="AP205" i="1" s="1"/>
  <c r="AP202" i="1"/>
  <c r="AP201" i="1" s="1"/>
  <c r="Y13" i="21"/>
  <c r="AW83" i="3"/>
  <c r="AW98" i="3"/>
  <c r="AW9" i="3"/>
  <c r="AW115" i="3" s="1"/>
  <c r="AV113" i="3"/>
  <c r="AV116" i="3" s="1"/>
  <c r="AV124" i="3" s="1"/>
  <c r="AU125" i="3"/>
  <c r="AU108" i="3"/>
  <c r="AV96" i="3"/>
  <c r="AV99" i="3" s="1"/>
  <c r="AV107" i="3" s="1"/>
  <c r="AX6" i="3"/>
  <c r="AX8" i="3"/>
  <c r="AX97" i="3" s="1"/>
  <c r="AY4" i="3"/>
  <c r="AY5" i="3" s="1"/>
  <c r="AX3" i="3"/>
  <c r="AV81" i="3"/>
  <c r="AV84" i="3" s="1"/>
  <c r="AV92" i="3" s="1"/>
  <c r="AU93" i="3"/>
  <c r="AR3" i="20"/>
  <c r="AS4" i="20"/>
  <c r="AS5" i="20" s="1"/>
  <c r="AR6" i="20"/>
  <c r="AQ3" i="1"/>
  <c r="AR4" i="1"/>
  <c r="AR5" i="1" s="1"/>
  <c r="AQ6" i="1"/>
  <c r="AQ6" i="16"/>
  <c r="AR4" i="16"/>
  <c r="AR5" i="16" s="1"/>
  <c r="AQ3" i="16"/>
  <c r="AR3" i="15"/>
  <c r="AR6" i="15"/>
  <c r="AS4" i="15"/>
  <c r="AS5" i="15" s="1"/>
  <c r="AQ6" i="14"/>
  <c r="AR4" i="14"/>
  <c r="AR5" i="14" s="1"/>
  <c r="AQ3" i="14"/>
  <c r="AQ113" i="14" s="1"/>
  <c r="AS4" i="22"/>
  <c r="AS5" i="22" s="1"/>
  <c r="AR3" i="22"/>
  <c r="AR6" i="22"/>
  <c r="BA13" i="3"/>
  <c r="AP6" i="5"/>
  <c r="AQ4" i="5"/>
  <c r="AQ5" i="5" s="1"/>
  <c r="AP3" i="5"/>
  <c r="AR6" i="9"/>
  <c r="AS4" i="9"/>
  <c r="AS5" i="9" s="1"/>
  <c r="AR3" i="9"/>
  <c r="AQ3" i="13"/>
  <c r="AQ6" i="13"/>
  <c r="AR4" i="13"/>
  <c r="AR5" i="13" s="1"/>
  <c r="AN66" i="3" l="1"/>
  <c r="AN67" i="3" s="1"/>
  <c r="AQ206" i="1"/>
  <c r="AQ205" i="1" s="1"/>
  <c r="AQ202" i="1"/>
  <c r="AQ201" i="1" s="1"/>
  <c r="AS6" i="20"/>
  <c r="AT4" i="20"/>
  <c r="AT5" i="20" s="1"/>
  <c r="AS3" i="20"/>
  <c r="AW81" i="3"/>
  <c r="AW84" i="3" s="1"/>
  <c r="AW92" i="3" s="1"/>
  <c r="AV93" i="3"/>
  <c r="AW96" i="3"/>
  <c r="AW99" i="3" s="1"/>
  <c r="AW107" i="3" s="1"/>
  <c r="AV108" i="3"/>
  <c r="AW113" i="3"/>
  <c r="AW116" i="3" s="1"/>
  <c r="AW124" i="3" s="1"/>
  <c r="AV125" i="3"/>
  <c r="AX9" i="3"/>
  <c r="AX115" i="3" s="1"/>
  <c r="AX83" i="3"/>
  <c r="AX98" i="3"/>
  <c r="AY3" i="3"/>
  <c r="AZ4" i="3"/>
  <c r="AZ5" i="3" s="1"/>
  <c r="AY6" i="3"/>
  <c r="AY8" i="3"/>
  <c r="AY97" i="3" s="1"/>
  <c r="AR6" i="1"/>
  <c r="AS4" i="1"/>
  <c r="AS5" i="1" s="1"/>
  <c r="AR3" i="1"/>
  <c r="AR6" i="16"/>
  <c r="AS4" i="16"/>
  <c r="AS5" i="16" s="1"/>
  <c r="AR3" i="16"/>
  <c r="AS3" i="15"/>
  <c r="AS6" i="15"/>
  <c r="AT4" i="15"/>
  <c r="AT5" i="15" s="1"/>
  <c r="AS4" i="14"/>
  <c r="AS5" i="14" s="1"/>
  <c r="AR3" i="14"/>
  <c r="AR113" i="14" s="1"/>
  <c r="AR6" i="14"/>
  <c r="AS3" i="22"/>
  <c r="AS6" i="22"/>
  <c r="AT4" i="22"/>
  <c r="AT5" i="22" s="1"/>
  <c r="AQ6" i="5"/>
  <c r="AR4" i="5"/>
  <c r="AR5" i="5" s="1"/>
  <c r="AQ3" i="5"/>
  <c r="AS3" i="9"/>
  <c r="AS6" i="9"/>
  <c r="AT4" i="9"/>
  <c r="AT5" i="9" s="1"/>
  <c r="AR3" i="13"/>
  <c r="AR6" i="13"/>
  <c r="AS4" i="13"/>
  <c r="AS5" i="13" s="1"/>
  <c r="AA13" i="21"/>
  <c r="Z13" i="21"/>
  <c r="AB13" i="21"/>
  <c r="AN75" i="3" l="1"/>
  <c r="AN76" i="3" s="1"/>
  <c r="AO64" i="3"/>
  <c r="AR206" i="1"/>
  <c r="AR205" i="1" s="1"/>
  <c r="AR202" i="1"/>
  <c r="AR201" i="1" s="1"/>
  <c r="AX113" i="3"/>
  <c r="AX116" i="3" s="1"/>
  <c r="AX124" i="3" s="1"/>
  <c r="AW125" i="3"/>
  <c r="AX81" i="3"/>
  <c r="AX84" i="3" s="1"/>
  <c r="AX92" i="3" s="1"/>
  <c r="AW93" i="3"/>
  <c r="AZ8" i="3"/>
  <c r="AZ97" i="3" s="1"/>
  <c r="BA4" i="3"/>
  <c r="BA5" i="3" s="1"/>
  <c r="AZ3" i="3"/>
  <c r="AZ6" i="3"/>
  <c r="AY83" i="3"/>
  <c r="AY98" i="3"/>
  <c r="AY9" i="3"/>
  <c r="AY115" i="3" s="1"/>
  <c r="AX96" i="3"/>
  <c r="AX99" i="3" s="1"/>
  <c r="AX107" i="3" s="1"/>
  <c r="AW108" i="3"/>
  <c r="AT6" i="20"/>
  <c r="AU4" i="20"/>
  <c r="AU5" i="20" s="1"/>
  <c r="AT3" i="20"/>
  <c r="AS6" i="1"/>
  <c r="AT4" i="1"/>
  <c r="AT5" i="1" s="1"/>
  <c r="AS3" i="1"/>
  <c r="AT4" i="16"/>
  <c r="AT5" i="16" s="1"/>
  <c r="AS6" i="16"/>
  <c r="AS3" i="16"/>
  <c r="AT3" i="15"/>
  <c r="AT6" i="15"/>
  <c r="AU4" i="15"/>
  <c r="AU5" i="15" s="1"/>
  <c r="AS3" i="14"/>
  <c r="AS113" i="14" s="1"/>
  <c r="AS6" i="14"/>
  <c r="AT4" i="14"/>
  <c r="AT5" i="14" s="1"/>
  <c r="AT3" i="22"/>
  <c r="AT6" i="22"/>
  <c r="AU4" i="22"/>
  <c r="AU5" i="22" s="1"/>
  <c r="AS4" i="5"/>
  <c r="AS5" i="5" s="1"/>
  <c r="AR6" i="5"/>
  <c r="AR3" i="5"/>
  <c r="AT3" i="9"/>
  <c r="AT6" i="9"/>
  <c r="AU4" i="9"/>
  <c r="AU5" i="9" s="1"/>
  <c r="AS3" i="13"/>
  <c r="AS6" i="13"/>
  <c r="AT4" i="13"/>
  <c r="AT5" i="13" s="1"/>
  <c r="AO66" i="3" l="1"/>
  <c r="AO67" i="3" s="1"/>
  <c r="AS202" i="1"/>
  <c r="AS201" i="1" s="1"/>
  <c r="AS206" i="1"/>
  <c r="AS205" i="1" s="1"/>
  <c r="AY113" i="3"/>
  <c r="AY116" i="3" s="1"/>
  <c r="AY124" i="3" s="1"/>
  <c r="AX125" i="3"/>
  <c r="AV4" i="20"/>
  <c r="AV5" i="20" s="1"/>
  <c r="AU3" i="20"/>
  <c r="AU6" i="20"/>
  <c r="BA8" i="3"/>
  <c r="BA97" i="3" s="1"/>
  <c r="BA6" i="3"/>
  <c r="BA3" i="3"/>
  <c r="AY96" i="3"/>
  <c r="AY99" i="3" s="1"/>
  <c r="AY107" i="3" s="1"/>
  <c r="AX108" i="3"/>
  <c r="AY81" i="3"/>
  <c r="AY84" i="3" s="1"/>
  <c r="AY92" i="3" s="1"/>
  <c r="AX93" i="3"/>
  <c r="AZ98" i="3"/>
  <c r="AZ83" i="3"/>
  <c r="AZ9" i="3"/>
  <c r="AZ115" i="3" s="1"/>
  <c r="AU4" i="1"/>
  <c r="AU5" i="1" s="1"/>
  <c r="AT3" i="1"/>
  <c r="AT6" i="1"/>
  <c r="AU4" i="16"/>
  <c r="AU5" i="16" s="1"/>
  <c r="AT3" i="16"/>
  <c r="AT6" i="16"/>
  <c r="AU3" i="15"/>
  <c r="AU6" i="15"/>
  <c r="AV4" i="15"/>
  <c r="AV5" i="15" s="1"/>
  <c r="AT3" i="14"/>
  <c r="AT113" i="14" s="1"/>
  <c r="AT6" i="14"/>
  <c r="AU4" i="14"/>
  <c r="AU5" i="14" s="1"/>
  <c r="AU3" i="22"/>
  <c r="AU6" i="22"/>
  <c r="AV4" i="22"/>
  <c r="AV5" i="22" s="1"/>
  <c r="AS3" i="5"/>
  <c r="AT4" i="5"/>
  <c r="AT5" i="5" s="1"/>
  <c r="AS6" i="5"/>
  <c r="AU3" i="9"/>
  <c r="AU6" i="9"/>
  <c r="AV4" i="9"/>
  <c r="AV5" i="9" s="1"/>
  <c r="AT3" i="13"/>
  <c r="AT6" i="13"/>
  <c r="AU4" i="13"/>
  <c r="AU5" i="13" s="1"/>
  <c r="AO75" i="3" l="1"/>
  <c r="AO76" i="3" s="1"/>
  <c r="AP64" i="3"/>
  <c r="AT202" i="1"/>
  <c r="AT201" i="1" s="1"/>
  <c r="AT206" i="1"/>
  <c r="AT205" i="1" s="1"/>
  <c r="BA9" i="3"/>
  <c r="BA115" i="3" s="1"/>
  <c r="BA83" i="3"/>
  <c r="BA98" i="3"/>
  <c r="I49" i="22"/>
  <c r="G41" i="3"/>
  <c r="G38" i="3"/>
  <c r="G42" i="3"/>
  <c r="H38" i="3"/>
  <c r="H37" i="3"/>
  <c r="H42" i="3"/>
  <c r="H41" i="3"/>
  <c r="G37" i="3"/>
  <c r="G39" i="3" s="1"/>
  <c r="AZ113" i="3"/>
  <c r="AZ116" i="3" s="1"/>
  <c r="AZ124" i="3" s="1"/>
  <c r="AY125" i="3"/>
  <c r="AZ81" i="3"/>
  <c r="AZ84" i="3" s="1"/>
  <c r="AZ92" i="3" s="1"/>
  <c r="AY93" i="3"/>
  <c r="AY108" i="3"/>
  <c r="AZ96" i="3"/>
  <c r="AZ99" i="3" s="1"/>
  <c r="AZ107" i="3" s="1"/>
  <c r="AV3" i="20"/>
  <c r="AV6" i="20"/>
  <c r="AW4" i="20"/>
  <c r="AW5" i="20" s="1"/>
  <c r="AU3" i="1"/>
  <c r="AU6" i="1"/>
  <c r="AV4" i="1"/>
  <c r="AV5" i="1" s="1"/>
  <c r="AU3" i="16"/>
  <c r="AU6" i="16"/>
  <c r="AV4" i="16"/>
  <c r="AV5" i="16" s="1"/>
  <c r="AV6" i="15"/>
  <c r="AW4" i="15"/>
  <c r="AW5" i="15" s="1"/>
  <c r="AV3" i="15"/>
  <c r="AU3" i="14"/>
  <c r="AU113" i="14" s="1"/>
  <c r="AU6" i="14"/>
  <c r="AV4" i="14"/>
  <c r="AV5" i="14" s="1"/>
  <c r="AV3" i="22"/>
  <c r="AV6" i="22"/>
  <c r="AW4" i="22"/>
  <c r="AW5" i="22" s="1"/>
  <c r="AT3" i="5"/>
  <c r="AT6" i="5"/>
  <c r="AU4" i="5"/>
  <c r="AU5" i="5" s="1"/>
  <c r="AV6" i="9"/>
  <c r="AW4" i="9"/>
  <c r="AW5" i="9" s="1"/>
  <c r="AV3" i="9"/>
  <c r="AU6" i="13"/>
  <c r="AV4" i="13"/>
  <c r="AV5" i="13" s="1"/>
  <c r="AU3" i="13"/>
  <c r="AP66" i="3" l="1"/>
  <c r="AP67" i="3" s="1"/>
  <c r="AU206" i="1"/>
  <c r="AU205" i="1" s="1"/>
  <c r="AU202" i="1"/>
  <c r="AU201" i="1" s="1"/>
  <c r="AZ125" i="3"/>
  <c r="BA113" i="3"/>
  <c r="BA116" i="3" s="1"/>
  <c r="H39" i="3"/>
  <c r="BA81" i="3"/>
  <c r="BA84" i="3" s="1"/>
  <c r="AZ93" i="3"/>
  <c r="BA96" i="3"/>
  <c r="BA99" i="3" s="1"/>
  <c r="AZ108" i="3"/>
  <c r="AW6" i="20"/>
  <c r="AX4" i="20"/>
  <c r="AX5" i="20" s="1"/>
  <c r="AW3" i="20"/>
  <c r="AV3" i="1"/>
  <c r="AV6" i="1"/>
  <c r="AW4" i="1"/>
  <c r="AW5" i="1" s="1"/>
  <c r="AV3" i="16"/>
  <c r="AV6" i="16"/>
  <c r="AW4" i="16"/>
  <c r="AW5" i="16" s="1"/>
  <c r="AW6" i="15"/>
  <c r="AX4" i="15"/>
  <c r="AX5" i="15" s="1"/>
  <c r="AW3" i="15"/>
  <c r="AV3" i="14"/>
  <c r="AV6" i="14"/>
  <c r="AW4" i="14"/>
  <c r="AW5" i="14" s="1"/>
  <c r="AW3" i="22"/>
  <c r="AW6" i="22"/>
  <c r="AX4" i="22"/>
  <c r="AX5" i="22" s="1"/>
  <c r="AU3" i="5"/>
  <c r="AU6" i="5"/>
  <c r="AV4" i="5"/>
  <c r="AV5" i="5" s="1"/>
  <c r="AW6" i="9"/>
  <c r="AX4" i="9"/>
  <c r="AX5" i="9" s="1"/>
  <c r="AW3" i="9"/>
  <c r="AV6" i="13"/>
  <c r="AW4" i="13"/>
  <c r="AW5" i="13" s="1"/>
  <c r="AV3" i="13"/>
  <c r="AP75" i="3" l="1"/>
  <c r="AP76" i="3" s="1"/>
  <c r="AQ64" i="3"/>
  <c r="AV202" i="1"/>
  <c r="AV201" i="1" s="1"/>
  <c r="AV206" i="1"/>
  <c r="AV205" i="1" s="1"/>
  <c r="BA107" i="3"/>
  <c r="BA108" i="3" s="1"/>
  <c r="BA92" i="3"/>
  <c r="BA93" i="3" s="1"/>
  <c r="AV113" i="14"/>
  <c r="BA124" i="3"/>
  <c r="BA125" i="3" s="1"/>
  <c r="AX6" i="20"/>
  <c r="AY4" i="20"/>
  <c r="AY5" i="20" s="1"/>
  <c r="AX3" i="20"/>
  <c r="AW3" i="1"/>
  <c r="AW6" i="1"/>
  <c r="AX4" i="1"/>
  <c r="AX5" i="1" s="1"/>
  <c r="AW3" i="16"/>
  <c r="AW6" i="16"/>
  <c r="AX4" i="16"/>
  <c r="AX5" i="16" s="1"/>
  <c r="AY4" i="15"/>
  <c r="AY5" i="15" s="1"/>
  <c r="AX3" i="15"/>
  <c r="AX6" i="15"/>
  <c r="AW3" i="14"/>
  <c r="AW6" i="14"/>
  <c r="AX4" i="14"/>
  <c r="AX5" i="14" s="1"/>
  <c r="AX6" i="22"/>
  <c r="AY4" i="22"/>
  <c r="AY5" i="22" s="1"/>
  <c r="AX3" i="22"/>
  <c r="AV3" i="5"/>
  <c r="AV6" i="5"/>
  <c r="AW4" i="5"/>
  <c r="AW5" i="5" s="1"/>
  <c r="AY4" i="9"/>
  <c r="AY5" i="9" s="1"/>
  <c r="AX6" i="9"/>
  <c r="AX3" i="9"/>
  <c r="AX4" i="13"/>
  <c r="AX5" i="13" s="1"/>
  <c r="AW3" i="13"/>
  <c r="AW6" i="13"/>
  <c r="AQ66" i="3" l="1"/>
  <c r="AQ67" i="3" s="1"/>
  <c r="AW206" i="1"/>
  <c r="AW205" i="1" s="1"/>
  <c r="AW202" i="1"/>
  <c r="AW201" i="1" s="1"/>
  <c r="AW113" i="14"/>
  <c r="AZ4" i="20"/>
  <c r="AZ5" i="20" s="1"/>
  <c r="AY3" i="20"/>
  <c r="AY6" i="20"/>
  <c r="AX3" i="1"/>
  <c r="AX6" i="1"/>
  <c r="AY4" i="1"/>
  <c r="AY5" i="1" s="1"/>
  <c r="AX3" i="16"/>
  <c r="AX6" i="16"/>
  <c r="AY4" i="16"/>
  <c r="AY5" i="16" s="1"/>
  <c r="AY3" i="15"/>
  <c r="AY6" i="15"/>
  <c r="AZ4" i="15"/>
  <c r="AZ5" i="15" s="1"/>
  <c r="AX6" i="14"/>
  <c r="AY4" i="14"/>
  <c r="AY5" i="14" s="1"/>
  <c r="AX3" i="14"/>
  <c r="AY6" i="22"/>
  <c r="AZ4" i="22"/>
  <c r="AZ5" i="22" s="1"/>
  <c r="AY3" i="22"/>
  <c r="AW3" i="5"/>
  <c r="AW6" i="5"/>
  <c r="AX4" i="5"/>
  <c r="AX5" i="5" s="1"/>
  <c r="AY3" i="9"/>
  <c r="AY6" i="9"/>
  <c r="AZ4" i="9"/>
  <c r="AZ5" i="9" s="1"/>
  <c r="AX3" i="13"/>
  <c r="AX6" i="13"/>
  <c r="AY4" i="13"/>
  <c r="AY5" i="13" s="1"/>
  <c r="AQ75" i="3" l="1"/>
  <c r="AQ76" i="3" s="1"/>
  <c r="AR64" i="3"/>
  <c r="AX206" i="1"/>
  <c r="AX205" i="1" s="1"/>
  <c r="AX202" i="1"/>
  <c r="AX201" i="1" s="1"/>
  <c r="AX113" i="14"/>
  <c r="AZ3" i="20"/>
  <c r="BA4" i="20"/>
  <c r="BA5" i="20" s="1"/>
  <c r="AZ6" i="20"/>
  <c r="AY3" i="1"/>
  <c r="AZ4" i="1"/>
  <c r="AZ5" i="1" s="1"/>
  <c r="AY6" i="1"/>
  <c r="AY6" i="16"/>
  <c r="AZ4" i="16"/>
  <c r="AZ5" i="16" s="1"/>
  <c r="AY3" i="16"/>
  <c r="AZ3" i="15"/>
  <c r="AZ6" i="15"/>
  <c r="BA4" i="15"/>
  <c r="BA5" i="15" s="1"/>
  <c r="AY6" i="14"/>
  <c r="AZ4" i="14"/>
  <c r="AZ5" i="14" s="1"/>
  <c r="AY3" i="14"/>
  <c r="BA4" i="22"/>
  <c r="BA5" i="22" s="1"/>
  <c r="AZ3" i="22"/>
  <c r="AZ6" i="22"/>
  <c r="AX6" i="5"/>
  <c r="AX3" i="5"/>
  <c r="AY4" i="5"/>
  <c r="AY5" i="5" s="1"/>
  <c r="AZ6" i="9"/>
  <c r="BA4" i="9"/>
  <c r="BA5" i="9" s="1"/>
  <c r="AZ3" i="9"/>
  <c r="AY3" i="13"/>
  <c r="AY6" i="13"/>
  <c r="AZ4" i="13"/>
  <c r="AZ5" i="13" s="1"/>
  <c r="AR66" i="3" l="1"/>
  <c r="AR67" i="3" s="1"/>
  <c r="AY206" i="1"/>
  <c r="AY205" i="1" s="1"/>
  <c r="AY202" i="1"/>
  <c r="AY201" i="1" s="1"/>
  <c r="AY113" i="14"/>
  <c r="BA6" i="20"/>
  <c r="BA3" i="20"/>
  <c r="AZ6" i="1"/>
  <c r="BA4" i="1"/>
  <c r="BA5" i="1" s="1"/>
  <c r="AZ3" i="1"/>
  <c r="AZ6" i="16"/>
  <c r="BA4" i="16"/>
  <c r="BA5" i="16" s="1"/>
  <c r="AZ3" i="16"/>
  <c r="BA3" i="15"/>
  <c r="BA6" i="15"/>
  <c r="BA4" i="14"/>
  <c r="BA5" i="14" s="1"/>
  <c r="AZ3" i="14"/>
  <c r="AZ6" i="14"/>
  <c r="BA3" i="22"/>
  <c r="BA6" i="22"/>
  <c r="BB4" i="22"/>
  <c r="BB5" i="22" s="1"/>
  <c r="AY6" i="5"/>
  <c r="AZ4" i="5"/>
  <c r="AZ5" i="5" s="1"/>
  <c r="AY3" i="5"/>
  <c r="BA3" i="9"/>
  <c r="BA6" i="9"/>
  <c r="AZ3" i="13"/>
  <c r="AZ6" i="13"/>
  <c r="BA4" i="13"/>
  <c r="BA5" i="13" s="1"/>
  <c r="G30" i="20" l="1"/>
  <c r="F28" i="20"/>
  <c r="F29" i="20"/>
  <c r="F30" i="20"/>
  <c r="G28" i="20"/>
  <c r="G27" i="20"/>
  <c r="F27" i="20"/>
  <c r="G29" i="20"/>
  <c r="H29" i="20"/>
  <c r="H30" i="20"/>
  <c r="I30" i="20"/>
  <c r="I29" i="20"/>
  <c r="K29" i="20"/>
  <c r="J30" i="20"/>
  <c r="J29" i="20"/>
  <c r="L30" i="20"/>
  <c r="K30" i="20"/>
  <c r="M30" i="20"/>
  <c r="L29" i="20"/>
  <c r="M29" i="20"/>
  <c r="N30" i="20"/>
  <c r="N29" i="20"/>
  <c r="AR75" i="3"/>
  <c r="AR76" i="3" s="1"/>
  <c r="AS64" i="3"/>
  <c r="AZ202" i="1"/>
  <c r="AZ201" i="1" s="1"/>
  <c r="AZ206" i="1"/>
  <c r="AZ205" i="1" s="1"/>
  <c r="H25" i="9"/>
  <c r="I28" i="22" s="1"/>
  <c r="H137" i="9"/>
  <c r="H129" i="9"/>
  <c r="F24" i="9"/>
  <c r="H133" i="9"/>
  <c r="H132" i="9"/>
  <c r="G129" i="9"/>
  <c r="G24" i="9"/>
  <c r="G133" i="9"/>
  <c r="H138" i="9"/>
  <c r="H139" i="9" s="1"/>
  <c r="G132" i="9"/>
  <c r="F23" i="9"/>
  <c r="G137" i="9"/>
  <c r="H131" i="9"/>
  <c r="H135" i="9"/>
  <c r="H136" i="9" s="1"/>
  <c r="I132" i="9"/>
  <c r="I137" i="9"/>
  <c r="G135" i="9"/>
  <c r="G136" i="9" s="1"/>
  <c r="H134" i="9"/>
  <c r="G131" i="9"/>
  <c r="G134" i="9"/>
  <c r="G138" i="9"/>
  <c r="G139" i="9" s="1"/>
  <c r="H130" i="9"/>
  <c r="G130" i="9"/>
  <c r="I134" i="9"/>
  <c r="J132" i="9"/>
  <c r="J25" i="9"/>
  <c r="K28" i="22" s="1"/>
  <c r="I135" i="9"/>
  <c r="I133" i="9"/>
  <c r="J135" i="9"/>
  <c r="J137" i="9"/>
  <c r="J134" i="9"/>
  <c r="I25" i="9"/>
  <c r="J28" i="22" s="1"/>
  <c r="K132" i="9"/>
  <c r="L137" i="9"/>
  <c r="K134" i="9"/>
  <c r="K135" i="9"/>
  <c r="J133" i="9"/>
  <c r="K137" i="9"/>
  <c r="L135" i="9"/>
  <c r="L132" i="9"/>
  <c r="L134" i="9"/>
  <c r="L133" i="9"/>
  <c r="K133" i="9"/>
  <c r="M133" i="9"/>
  <c r="M135" i="9"/>
  <c r="M132" i="9"/>
  <c r="M134" i="9"/>
  <c r="M137" i="9"/>
  <c r="N133" i="9"/>
  <c r="N137" i="9"/>
  <c r="N135" i="9"/>
  <c r="N132" i="9"/>
  <c r="N134" i="9"/>
  <c r="AZ113" i="14"/>
  <c r="BA6" i="1"/>
  <c r="BA3" i="1"/>
  <c r="BA3" i="16"/>
  <c r="BA6" i="16"/>
  <c r="H16" i="15"/>
  <c r="G40" i="15"/>
  <c r="G35" i="15"/>
  <c r="H37" i="15"/>
  <c r="H39" i="15"/>
  <c r="G18" i="15"/>
  <c r="H17" i="15"/>
  <c r="G39" i="15"/>
  <c r="H33" i="15"/>
  <c r="H41" i="15"/>
  <c r="H31" i="15"/>
  <c r="G22" i="12" s="1"/>
  <c r="H30" i="15"/>
  <c r="G37" i="15"/>
  <c r="G33" i="15"/>
  <c r="G36" i="15"/>
  <c r="G32" i="15"/>
  <c r="H40" i="15"/>
  <c r="G34" i="15"/>
  <c r="G41" i="15"/>
  <c r="H36" i="15"/>
  <c r="H32" i="15"/>
  <c r="H34" i="15"/>
  <c r="G17" i="15"/>
  <c r="H18" i="15"/>
  <c r="G31" i="15"/>
  <c r="F22" i="12" s="1"/>
  <c r="H35" i="15"/>
  <c r="G16" i="15"/>
  <c r="G30" i="15"/>
  <c r="T22" i="20"/>
  <c r="AB23" i="20"/>
  <c r="AC23" i="20"/>
  <c r="AB22" i="20"/>
  <c r="R22" i="20"/>
  <c r="V23" i="20"/>
  <c r="S22" i="20"/>
  <c r="U23" i="20"/>
  <c r="V22" i="20"/>
  <c r="X22" i="20"/>
  <c r="AA23" i="20"/>
  <c r="W23" i="20"/>
  <c r="Y22" i="20"/>
  <c r="U22" i="20"/>
  <c r="R19" i="9"/>
  <c r="Z23" i="20"/>
  <c r="S23" i="20"/>
  <c r="AC22" i="20"/>
  <c r="Y23" i="20"/>
  <c r="R23" i="20"/>
  <c r="T23" i="20"/>
  <c r="X23" i="20"/>
  <c r="R18" i="9"/>
  <c r="R17" i="9" s="1"/>
  <c r="AA22" i="20"/>
  <c r="Z22" i="20"/>
  <c r="W22" i="20"/>
  <c r="S18" i="9"/>
  <c r="T19" i="9"/>
  <c r="S19" i="9"/>
  <c r="T18" i="9"/>
  <c r="V99" i="9"/>
  <c r="V18" i="9"/>
  <c r="U19" i="9"/>
  <c r="V98" i="9"/>
  <c r="V103" i="9" s="1"/>
  <c r="V100" i="9" s="1"/>
  <c r="V19" i="9"/>
  <c r="U18" i="9"/>
  <c r="Z19" i="9"/>
  <c r="X18" i="9"/>
  <c r="W99" i="9"/>
  <c r="X19" i="9"/>
  <c r="X99" i="9"/>
  <c r="W18" i="9"/>
  <c r="W19" i="9"/>
  <c r="W98" i="9"/>
  <c r="W103" i="9" s="1"/>
  <c r="W100" i="9" s="1"/>
  <c r="Y18" i="9"/>
  <c r="Y19" i="9"/>
  <c r="X98" i="9"/>
  <c r="Z18" i="9"/>
  <c r="Y98" i="9"/>
  <c r="Y99" i="9"/>
  <c r="Z99" i="9"/>
  <c r="AC98" i="9"/>
  <c r="AA98" i="9"/>
  <c r="AA103" i="9" s="1"/>
  <c r="AA100" i="9" s="1"/>
  <c r="AA19" i="9"/>
  <c r="Z98" i="9"/>
  <c r="AA18" i="9"/>
  <c r="AB98" i="9"/>
  <c r="AB103" i="9" s="1"/>
  <c r="AB100" i="9" s="1"/>
  <c r="AB99" i="9"/>
  <c r="AB18" i="9"/>
  <c r="AB19" i="9"/>
  <c r="AC19" i="9"/>
  <c r="AA99" i="9"/>
  <c r="AC99" i="9"/>
  <c r="AC18" i="9"/>
  <c r="BA3" i="14"/>
  <c r="BA6" i="14"/>
  <c r="BB3" i="22"/>
  <c r="BB6" i="22"/>
  <c r="AZ3" i="5"/>
  <c r="AZ6" i="5"/>
  <c r="G46" i="9"/>
  <c r="G124" i="9"/>
  <c r="G122" i="9"/>
  <c r="G125" i="9"/>
  <c r="G59" i="9"/>
  <c r="G53" i="9"/>
  <c r="G48" i="9"/>
  <c r="G117" i="9"/>
  <c r="J120" i="9"/>
  <c r="G50" i="9"/>
  <c r="G55" i="9"/>
  <c r="G44" i="9"/>
  <c r="G116" i="9"/>
  <c r="G42" i="9"/>
  <c r="G119" i="9"/>
  <c r="J117" i="9"/>
  <c r="H48" i="9"/>
  <c r="G49" i="9"/>
  <c r="G41" i="9"/>
  <c r="G43" i="9"/>
  <c r="G40" i="9"/>
  <c r="H116" i="9"/>
  <c r="J118" i="9"/>
  <c r="G121" i="9"/>
  <c r="G120" i="9"/>
  <c r="H47" i="9"/>
  <c r="G118" i="9"/>
  <c r="G56" i="9"/>
  <c r="J116" i="9"/>
  <c r="G47" i="9"/>
  <c r="G58" i="9"/>
  <c r="G51" i="9"/>
  <c r="G45" i="9"/>
  <c r="G54" i="9"/>
  <c r="K124" i="9"/>
  <c r="J119" i="9"/>
  <c r="J122" i="9"/>
  <c r="J123" i="9" s="1"/>
  <c r="I121" i="9"/>
  <c r="K119" i="9"/>
  <c r="H51" i="9"/>
  <c r="H41" i="9"/>
  <c r="H43" i="9"/>
  <c r="H125" i="9"/>
  <c r="L120" i="9"/>
  <c r="H54" i="9"/>
  <c r="H117" i="9"/>
  <c r="H45" i="9"/>
  <c r="H122" i="9"/>
  <c r="J121" i="9"/>
  <c r="K121" i="9"/>
  <c r="H124" i="9"/>
  <c r="H50" i="9"/>
  <c r="I124" i="9"/>
  <c r="I120" i="9"/>
  <c r="K117" i="9"/>
  <c r="H46" i="9"/>
  <c r="I118" i="9"/>
  <c r="J124" i="9"/>
  <c r="H55" i="9"/>
  <c r="K116" i="9"/>
  <c r="I122" i="9"/>
  <c r="H59" i="9"/>
  <c r="H119" i="9"/>
  <c r="I116" i="9"/>
  <c r="H56" i="9"/>
  <c r="H121" i="9"/>
  <c r="K122" i="9"/>
  <c r="I119" i="9"/>
  <c r="H44" i="9"/>
  <c r="H120" i="9"/>
  <c r="H58" i="9"/>
  <c r="H42" i="9"/>
  <c r="H118" i="9"/>
  <c r="H53" i="9"/>
  <c r="I117" i="9"/>
  <c r="H49" i="9"/>
  <c r="H40" i="9"/>
  <c r="I125" i="9"/>
  <c r="L122" i="9"/>
  <c r="L117" i="9"/>
  <c r="L124" i="9"/>
  <c r="K120" i="9"/>
  <c r="L121" i="9"/>
  <c r="L118" i="9"/>
  <c r="L116" i="9"/>
  <c r="K118" i="9"/>
  <c r="L119" i="9"/>
  <c r="M119" i="9"/>
  <c r="M118" i="9"/>
  <c r="K125" i="9"/>
  <c r="K126" i="9" s="1"/>
  <c r="M120" i="9"/>
  <c r="M116" i="9"/>
  <c r="M117" i="9"/>
  <c r="M122" i="9"/>
  <c r="M124" i="9"/>
  <c r="J125" i="9"/>
  <c r="J126" i="9" s="1"/>
  <c r="M121" i="9"/>
  <c r="L125" i="9"/>
  <c r="N117" i="9"/>
  <c r="N116" i="9"/>
  <c r="N124" i="9"/>
  <c r="N120" i="9"/>
  <c r="N118" i="9"/>
  <c r="N122" i="9"/>
  <c r="N123" i="9" s="1"/>
  <c r="N125" i="9"/>
  <c r="N121" i="9"/>
  <c r="N119" i="9"/>
  <c r="M125" i="9"/>
  <c r="Y27" i="1"/>
  <c r="AA27" i="1"/>
  <c r="AA32" i="3"/>
  <c r="AC32" i="3"/>
  <c r="AC27" i="1"/>
  <c r="W27" i="1"/>
  <c r="Z27" i="1"/>
  <c r="V27" i="1"/>
  <c r="X27" i="1"/>
  <c r="Y32" i="3"/>
  <c r="AB32" i="3"/>
  <c r="AB27" i="1"/>
  <c r="Z32" i="3"/>
  <c r="BA3" i="13"/>
  <c r="BA6" i="13"/>
  <c r="R9" i="26" l="1"/>
  <c r="S8" i="26"/>
  <c r="X8" i="26"/>
  <c r="V9" i="26"/>
  <c r="T9" i="26"/>
  <c r="AD8" i="26"/>
  <c r="T8" i="26"/>
  <c r="Z9" i="26"/>
  <c r="Z34" i="26" s="1"/>
  <c r="R8" i="26"/>
  <c r="W9" i="26"/>
  <c r="AA8" i="26"/>
  <c r="Z8" i="26"/>
  <c r="U8" i="26"/>
  <c r="AD9" i="26"/>
  <c r="AD34" i="26" s="1"/>
  <c r="AD130" i="9" s="1"/>
  <c r="Y9" i="26"/>
  <c r="AC9" i="26"/>
  <c r="AC34" i="26" s="1"/>
  <c r="V8" i="26"/>
  <c r="Y8" i="26"/>
  <c r="AB9" i="26"/>
  <c r="AB34" i="26" s="1"/>
  <c r="U9" i="26"/>
  <c r="AB8" i="26"/>
  <c r="S9" i="26"/>
  <c r="AA9" i="26"/>
  <c r="AA34" i="26" s="1"/>
  <c r="W8" i="26"/>
  <c r="X9" i="26"/>
  <c r="AC8" i="26"/>
  <c r="AE8" i="26"/>
  <c r="AF8" i="26"/>
  <c r="AE9" i="26"/>
  <c r="AE34" i="26" s="1"/>
  <c r="AE130" i="9" s="1"/>
  <c r="AG8" i="26"/>
  <c r="AH8" i="26"/>
  <c r="AF9" i="26"/>
  <c r="AF34" i="26" s="1"/>
  <c r="AF130" i="9" s="1"/>
  <c r="AJ8" i="26"/>
  <c r="AG9" i="26"/>
  <c r="AG34" i="26" s="1"/>
  <c r="AG130" i="9" s="1"/>
  <c r="AI8" i="26"/>
  <c r="AH9" i="26"/>
  <c r="AH34" i="26" s="1"/>
  <c r="AH130" i="9" s="1"/>
  <c r="AK8" i="26"/>
  <c r="AI9" i="26"/>
  <c r="AI34" i="26" s="1"/>
  <c r="AI130" i="9" s="1"/>
  <c r="AJ9" i="26"/>
  <c r="AJ34" i="26" s="1"/>
  <c r="AJ130" i="9" s="1"/>
  <c r="AK9" i="26"/>
  <c r="AK34" i="26" s="1"/>
  <c r="AK130" i="9" s="1"/>
  <c r="AL8" i="26"/>
  <c r="AN9" i="26"/>
  <c r="AN34" i="26" s="1"/>
  <c r="AN130" i="9" s="1"/>
  <c r="AL9" i="26"/>
  <c r="AL34" i="26" s="1"/>
  <c r="AL130" i="9" s="1"/>
  <c r="AM8" i="26"/>
  <c r="AM9" i="26"/>
  <c r="AM34" i="26" s="1"/>
  <c r="AM130" i="9" s="1"/>
  <c r="AN8" i="26"/>
  <c r="AP8" i="26"/>
  <c r="AO8" i="26"/>
  <c r="AP9" i="26"/>
  <c r="AP34" i="26" s="1"/>
  <c r="AP130" i="9" s="1"/>
  <c r="AR8" i="26"/>
  <c r="AO9" i="26"/>
  <c r="AO34" i="26" s="1"/>
  <c r="AO130" i="9" s="1"/>
  <c r="AQ8" i="26"/>
  <c r="AR9" i="26"/>
  <c r="AR34" i="26" s="1"/>
  <c r="AR130" i="9" s="1"/>
  <c r="AS8" i="26"/>
  <c r="AS9" i="26"/>
  <c r="AS34" i="26" s="1"/>
  <c r="AS130" i="9" s="1"/>
  <c r="AQ9" i="26"/>
  <c r="AQ34" i="26" s="1"/>
  <c r="AQ130" i="9" s="1"/>
  <c r="AT9" i="26"/>
  <c r="AT34" i="26" s="1"/>
  <c r="AT130" i="9" s="1"/>
  <c r="AT8" i="26"/>
  <c r="AU9" i="26"/>
  <c r="AU34" i="26" s="1"/>
  <c r="AU130" i="9" s="1"/>
  <c r="AX8" i="26"/>
  <c r="AU8" i="26"/>
  <c r="AV8" i="26"/>
  <c r="AW9" i="26"/>
  <c r="AW34" i="26" s="1"/>
  <c r="AW130" i="9" s="1"/>
  <c r="AW8" i="26"/>
  <c r="AY8" i="26"/>
  <c r="AZ8" i="26"/>
  <c r="AV9" i="26"/>
  <c r="AV34" i="26" s="1"/>
  <c r="AV130" i="9" s="1"/>
  <c r="AY9" i="26"/>
  <c r="AY34" i="26" s="1"/>
  <c r="AY130" i="9" s="1"/>
  <c r="AX9" i="26"/>
  <c r="AX34" i="26" s="1"/>
  <c r="AX130" i="9" s="1"/>
  <c r="AZ9" i="26"/>
  <c r="AZ34" i="26" s="1"/>
  <c r="AZ130" i="9" s="1"/>
  <c r="BA9" i="26"/>
  <c r="BA34" i="26" s="1"/>
  <c r="BA130" i="9" s="1"/>
  <c r="BA8" i="26"/>
  <c r="P30" i="20"/>
  <c r="P29" i="20"/>
  <c r="W21" i="20"/>
  <c r="AS66" i="3"/>
  <c r="AS67" i="3" s="1"/>
  <c r="BA206" i="1"/>
  <c r="BA205" i="1" s="1"/>
  <c r="N205" i="1" s="1"/>
  <c r="BA202" i="1"/>
  <c r="BA201" i="1" s="1"/>
  <c r="N201" i="1" s="1"/>
  <c r="G201" i="1"/>
  <c r="H205" i="1"/>
  <c r="G205" i="1"/>
  <c r="L201" i="1"/>
  <c r="M201" i="1"/>
  <c r="I205" i="1"/>
  <c r="K201" i="1"/>
  <c r="J205" i="1"/>
  <c r="I201" i="1"/>
  <c r="K205" i="1"/>
  <c r="J201" i="1"/>
  <c r="G99" i="9"/>
  <c r="G52" i="9"/>
  <c r="F18" i="9"/>
  <c r="H162" i="1"/>
  <c r="G162" i="1"/>
  <c r="G159" i="1"/>
  <c r="H123" i="9"/>
  <c r="M123" i="9"/>
  <c r="I126" i="9"/>
  <c r="H126" i="9"/>
  <c r="F13" i="5"/>
  <c r="G13" i="5"/>
  <c r="F12" i="5"/>
  <c r="G11" i="5"/>
  <c r="H9" i="22" s="1"/>
  <c r="G12" i="5"/>
  <c r="F11" i="5"/>
  <c r="H11" i="5"/>
  <c r="I9" i="22" s="1"/>
  <c r="H13" i="5"/>
  <c r="H12" i="5"/>
  <c r="I13" i="5"/>
  <c r="K13" i="5"/>
  <c r="J13" i="5"/>
  <c r="L13" i="5"/>
  <c r="N13" i="5"/>
  <c r="I11" i="5"/>
  <c r="J9" i="22" s="1"/>
  <c r="I12" i="5"/>
  <c r="M13" i="5"/>
  <c r="J12" i="5"/>
  <c r="K12" i="5"/>
  <c r="K11" i="5"/>
  <c r="L9" i="22" s="1"/>
  <c r="L12" i="5"/>
  <c r="M12" i="5"/>
  <c r="M11" i="5"/>
  <c r="N9" i="22" s="1"/>
  <c r="L11" i="5"/>
  <c r="M9" i="22" s="1"/>
  <c r="J11" i="5"/>
  <c r="K9" i="22" s="1"/>
  <c r="M6" i="12"/>
  <c r="N6" i="12" s="1"/>
  <c r="O6" i="12" s="1"/>
  <c r="P6" i="12" s="1"/>
  <c r="Q6" i="12" s="1"/>
  <c r="R6" i="12" s="1"/>
  <c r="N12" i="5"/>
  <c r="N11" i="5"/>
  <c r="O9" i="22" s="1"/>
  <c r="G35" i="16"/>
  <c r="H35" i="16"/>
  <c r="H57" i="9"/>
  <c r="AC23" i="25"/>
  <c r="W23" i="25"/>
  <c r="Z23" i="25"/>
  <c r="Y23" i="25"/>
  <c r="AB23" i="25"/>
  <c r="V23" i="25"/>
  <c r="AA23" i="25"/>
  <c r="U23" i="25"/>
  <c r="X23" i="25"/>
  <c r="AD23" i="25"/>
  <c r="H10" i="5"/>
  <c r="F9" i="5"/>
  <c r="F10" i="5"/>
  <c r="G9" i="5"/>
  <c r="G10" i="5"/>
  <c r="I10" i="5"/>
  <c r="H9" i="5"/>
  <c r="AE23" i="25"/>
  <c r="AF23" i="25"/>
  <c r="J10" i="5"/>
  <c r="K10" i="5"/>
  <c r="M10" i="5"/>
  <c r="L10" i="5"/>
  <c r="AH23" i="25"/>
  <c r="AG23" i="25"/>
  <c r="I9" i="5"/>
  <c r="N10" i="5"/>
  <c r="AJ23" i="25"/>
  <c r="AI23" i="25"/>
  <c r="J9" i="5"/>
  <c r="AL23" i="25"/>
  <c r="AK23" i="25"/>
  <c r="AM23" i="25"/>
  <c r="AO23" i="25"/>
  <c r="K9" i="5"/>
  <c r="AN23" i="25"/>
  <c r="AQ23" i="25"/>
  <c r="AP23" i="25"/>
  <c r="AS23" i="25"/>
  <c r="AR23" i="25"/>
  <c r="L9" i="5"/>
  <c r="AT23" i="25"/>
  <c r="M9" i="5"/>
  <c r="AV23" i="25"/>
  <c r="AU23" i="25"/>
  <c r="AW23" i="25"/>
  <c r="AZ23" i="25"/>
  <c r="AX23" i="25"/>
  <c r="N9" i="5"/>
  <c r="AY23" i="25"/>
  <c r="G158" i="1"/>
  <c r="G168" i="1"/>
  <c r="H142" i="1"/>
  <c r="F25" i="1"/>
  <c r="I119" i="1"/>
  <c r="G157" i="1"/>
  <c r="AC17" i="3"/>
  <c r="G102" i="1"/>
  <c r="H144" i="1"/>
  <c r="G155" i="1"/>
  <c r="G154" i="1"/>
  <c r="F135" i="1"/>
  <c r="G104" i="1"/>
  <c r="H168" i="1"/>
  <c r="F159" i="1"/>
  <c r="F150" i="1"/>
  <c r="F148" i="1"/>
  <c r="Y34" i="3"/>
  <c r="G34" i="3" s="1"/>
  <c r="I139" i="1"/>
  <c r="G106" i="1"/>
  <c r="F117" i="1"/>
  <c r="F119" i="1"/>
  <c r="I141" i="1"/>
  <c r="AX21" i="3"/>
  <c r="AQ35" i="3"/>
  <c r="AV35" i="3"/>
  <c r="G121" i="1"/>
  <c r="H158" i="1"/>
  <c r="J124" i="1"/>
  <c r="AV21" i="3"/>
  <c r="G133" i="1"/>
  <c r="H116" i="1"/>
  <c r="AY21" i="3"/>
  <c r="G184" i="1"/>
  <c r="H53" i="22" s="1"/>
  <c r="H56" i="22" s="1"/>
  <c r="AB20" i="3"/>
  <c r="G144" i="1"/>
  <c r="G134" i="1"/>
  <c r="G141" i="1"/>
  <c r="F133" i="1"/>
  <c r="G114" i="1"/>
  <c r="AE35" i="3"/>
  <c r="AA17" i="3"/>
  <c r="AD21" i="3"/>
  <c r="H103" i="1"/>
  <c r="H177" i="1"/>
  <c r="H118" i="1"/>
  <c r="H110" i="1"/>
  <c r="I115" i="1"/>
  <c r="I157" i="1"/>
  <c r="I117" i="1"/>
  <c r="H105" i="1"/>
  <c r="H107" i="1"/>
  <c r="Z17" i="3"/>
  <c r="H127" i="1"/>
  <c r="F101" i="1"/>
  <c r="G96" i="1"/>
  <c r="AB17" i="3"/>
  <c r="G125" i="1"/>
  <c r="AC20" i="3"/>
  <c r="H20" i="3" s="1"/>
  <c r="G120" i="1"/>
  <c r="Z18" i="3"/>
  <c r="AC40" i="3"/>
  <c r="AC44" i="3" s="1"/>
  <c r="G177" i="1"/>
  <c r="AI35" i="3"/>
  <c r="AH35" i="3"/>
  <c r="G130" i="1"/>
  <c r="Y60" i="3"/>
  <c r="AP35" i="3"/>
  <c r="F140" i="1"/>
  <c r="AN21" i="3"/>
  <c r="AM21" i="3"/>
  <c r="F127" i="1"/>
  <c r="H124" i="1"/>
  <c r="I126" i="1"/>
  <c r="H147" i="1"/>
  <c r="H109" i="1"/>
  <c r="J150" i="1"/>
  <c r="I138" i="1"/>
  <c r="I109" i="1"/>
  <c r="H184" i="1"/>
  <c r="I53" i="22" s="1"/>
  <c r="I56" i="22" s="1"/>
  <c r="H157" i="1"/>
  <c r="H136" i="1"/>
  <c r="G116" i="1"/>
  <c r="AS21" i="3"/>
  <c r="L21" i="3" s="1"/>
  <c r="G176" i="1"/>
  <c r="AN35" i="3"/>
  <c r="AC60" i="3"/>
  <c r="AB34" i="3"/>
  <c r="G108" i="1"/>
  <c r="AG21" i="3"/>
  <c r="I21" i="3" s="1"/>
  <c r="F137" i="1"/>
  <c r="AK35" i="3"/>
  <c r="F130" i="1"/>
  <c r="Y20" i="3"/>
  <c r="G20" i="3" s="1"/>
  <c r="G109" i="1"/>
  <c r="G127" i="1"/>
  <c r="Z20" i="3"/>
  <c r="AU21" i="3"/>
  <c r="AC21" i="3"/>
  <c r="H21" i="3" s="1"/>
  <c r="G137" i="1"/>
  <c r="F125" i="1"/>
  <c r="F105" i="1"/>
  <c r="AA34" i="3"/>
  <c r="AC34" i="3"/>
  <c r="H115" i="1"/>
  <c r="H122" i="1"/>
  <c r="H119" i="1"/>
  <c r="H138" i="1"/>
  <c r="H102" i="1"/>
  <c r="H156" i="1"/>
  <c r="H179" i="1"/>
  <c r="I107" i="1"/>
  <c r="H140" i="1"/>
  <c r="I150" i="1"/>
  <c r="H108" i="1"/>
  <c r="AC35" i="3"/>
  <c r="G124" i="1"/>
  <c r="AL21" i="3"/>
  <c r="F147" i="1"/>
  <c r="AM35" i="3"/>
  <c r="Y35" i="3"/>
  <c r="G35" i="3" s="1"/>
  <c r="F160" i="1"/>
  <c r="AA21" i="3"/>
  <c r="F116" i="1"/>
  <c r="F122" i="1"/>
  <c r="F144" i="1"/>
  <c r="AB35" i="3"/>
  <c r="G107" i="1"/>
  <c r="Z60" i="3"/>
  <c r="AF21" i="3"/>
  <c r="G148" i="1"/>
  <c r="G105" i="1"/>
  <c r="AB21" i="3"/>
  <c r="F154" i="1"/>
  <c r="F145" i="1"/>
  <c r="BA21" i="3"/>
  <c r="N21" i="3" s="1"/>
  <c r="AT35" i="3"/>
  <c r="I123" i="1"/>
  <c r="H114" i="1"/>
  <c r="I105" i="1"/>
  <c r="I120" i="1"/>
  <c r="I148" i="1"/>
  <c r="H121" i="1"/>
  <c r="I156" i="1"/>
  <c r="H97" i="1"/>
  <c r="H104" i="1"/>
  <c r="I102" i="1"/>
  <c r="H143" i="1"/>
  <c r="AW21" i="3"/>
  <c r="M21" i="3" s="1"/>
  <c r="AA35" i="3"/>
  <c r="AZ35" i="3"/>
  <c r="F128" i="1"/>
  <c r="F106" i="1"/>
  <c r="G122" i="1"/>
  <c r="G181" i="1"/>
  <c r="AO35" i="3"/>
  <c r="G113" i="1"/>
  <c r="G135" i="1"/>
  <c r="AI21" i="3"/>
  <c r="F123" i="1"/>
  <c r="H137" i="1"/>
  <c r="AA20" i="3"/>
  <c r="Y40" i="3"/>
  <c r="F114" i="1"/>
  <c r="F111" i="1"/>
  <c r="AA60" i="3"/>
  <c r="AA40" i="3"/>
  <c r="AA44" i="3" s="1"/>
  <c r="AB60" i="3"/>
  <c r="F157" i="1"/>
  <c r="H176" i="1"/>
  <c r="H134" i="1"/>
  <c r="H150" i="1"/>
  <c r="H151" i="1"/>
  <c r="H106" i="1"/>
  <c r="H175" i="1"/>
  <c r="I104" i="1"/>
  <c r="G25" i="1"/>
  <c r="F156" i="1"/>
  <c r="G128" i="1"/>
  <c r="F110" i="1"/>
  <c r="AZ21" i="3"/>
  <c r="F158" i="1"/>
  <c r="AX35" i="3"/>
  <c r="Z35" i="3"/>
  <c r="F108" i="1"/>
  <c r="F134" i="1"/>
  <c r="F151" i="1"/>
  <c r="G115" i="1"/>
  <c r="G156" i="1"/>
  <c r="AC18" i="3"/>
  <c r="H18" i="3" s="1"/>
  <c r="AL35" i="3"/>
  <c r="Z34" i="3"/>
  <c r="F103" i="1"/>
  <c r="F113" i="1"/>
  <c r="G152" i="1"/>
  <c r="G138" i="1"/>
  <c r="G119" i="1"/>
  <c r="H117" i="1"/>
  <c r="I108" i="1"/>
  <c r="H181" i="1"/>
  <c r="H139" i="1"/>
  <c r="J126" i="1"/>
  <c r="G110" i="1"/>
  <c r="H133" i="1"/>
  <c r="H154" i="1"/>
  <c r="AP21" i="3"/>
  <c r="F155" i="1"/>
  <c r="F102" i="1"/>
  <c r="G123" i="1"/>
  <c r="G140" i="1"/>
  <c r="AW35" i="3"/>
  <c r="AK21" i="3"/>
  <c r="J21" i="3" s="1"/>
  <c r="Y17" i="3"/>
  <c r="AJ35" i="3"/>
  <c r="AU35" i="3"/>
  <c r="AB18" i="3"/>
  <c r="G151" i="1"/>
  <c r="Y21" i="3"/>
  <c r="G21" i="3" s="1"/>
  <c r="F142" i="1"/>
  <c r="G118" i="1"/>
  <c r="Z21" i="3"/>
  <c r="F107" i="1"/>
  <c r="AH21" i="3"/>
  <c r="F138" i="1"/>
  <c r="F143" i="1"/>
  <c r="Y18" i="3"/>
  <c r="G18" i="3" s="1"/>
  <c r="G143" i="1"/>
  <c r="I155" i="1"/>
  <c r="H125" i="1"/>
  <c r="H120" i="1"/>
  <c r="H101" i="1"/>
  <c r="H128" i="1"/>
  <c r="I134" i="1"/>
  <c r="I142" i="1"/>
  <c r="I158" i="1"/>
  <c r="I144" i="1"/>
  <c r="AQ21" i="3"/>
  <c r="AY35" i="3"/>
  <c r="G149" i="1"/>
  <c r="F121" i="1"/>
  <c r="AE21" i="3"/>
  <c r="AB40" i="3"/>
  <c r="AB44" i="3" s="1"/>
  <c r="F152" i="1"/>
  <c r="G150" i="1"/>
  <c r="G142" i="1"/>
  <c r="G139" i="1"/>
  <c r="F120" i="1"/>
  <c r="F162" i="1"/>
  <c r="AT21" i="3"/>
  <c r="AG35" i="3"/>
  <c r="F126" i="1"/>
  <c r="F124" i="1"/>
  <c r="F109" i="1"/>
  <c r="AA18" i="3"/>
  <c r="F104" i="1"/>
  <c r="AS35" i="3"/>
  <c r="G111" i="1"/>
  <c r="H155" i="1"/>
  <c r="I124" i="1"/>
  <c r="H148" i="1"/>
  <c r="G117" i="1"/>
  <c r="I114" i="1"/>
  <c r="H159" i="1"/>
  <c r="H130" i="1"/>
  <c r="H141" i="1"/>
  <c r="H135" i="1"/>
  <c r="H113" i="1"/>
  <c r="H126" i="1"/>
  <c r="AJ21" i="3"/>
  <c r="F136" i="1"/>
  <c r="AR21" i="3"/>
  <c r="G175" i="1"/>
  <c r="BA35" i="3"/>
  <c r="F141" i="1"/>
  <c r="AO21" i="3"/>
  <c r="K21" i="3" s="1"/>
  <c r="F115" i="1"/>
  <c r="AD35" i="3"/>
  <c r="AR35" i="3"/>
  <c r="F149" i="1"/>
  <c r="F118" i="1"/>
  <c r="F139" i="1"/>
  <c r="Z40" i="3"/>
  <c r="G147" i="1"/>
  <c r="G103" i="1"/>
  <c r="AD56" i="3"/>
  <c r="G126" i="1"/>
  <c r="G179" i="1"/>
  <c r="G160" i="1"/>
  <c r="G101" i="1"/>
  <c r="AF35" i="3"/>
  <c r="G136" i="1"/>
  <c r="G145" i="1"/>
  <c r="H152" i="1"/>
  <c r="K157" i="1"/>
  <c r="H149" i="1"/>
  <c r="H160" i="1"/>
  <c r="I122" i="1"/>
  <c r="I149" i="1"/>
  <c r="H111" i="1"/>
  <c r="H145" i="1"/>
  <c r="G97" i="1"/>
  <c r="H123" i="1"/>
  <c r="H25" i="1"/>
  <c r="K142" i="1"/>
  <c r="K127" i="1"/>
  <c r="J127" i="1"/>
  <c r="J148" i="1"/>
  <c r="K150" i="1"/>
  <c r="J155" i="1"/>
  <c r="J159" i="1"/>
  <c r="K122" i="1"/>
  <c r="K109" i="1"/>
  <c r="J139" i="1"/>
  <c r="K115" i="1"/>
  <c r="J121" i="1"/>
  <c r="L124" i="1"/>
  <c r="J143" i="1"/>
  <c r="J113" i="1"/>
  <c r="K108" i="1"/>
  <c r="J158" i="1"/>
  <c r="J123" i="1"/>
  <c r="J105" i="1"/>
  <c r="J117" i="1"/>
  <c r="J136" i="1"/>
  <c r="J109" i="1"/>
  <c r="J114" i="1"/>
  <c r="K134" i="1"/>
  <c r="J107" i="1"/>
  <c r="J116" i="1"/>
  <c r="I106" i="1"/>
  <c r="K138" i="1"/>
  <c r="I181" i="1"/>
  <c r="K105" i="1"/>
  <c r="J115" i="1"/>
  <c r="J108" i="1"/>
  <c r="J102" i="1"/>
  <c r="K149" i="1"/>
  <c r="J142" i="1"/>
  <c r="J144" i="1"/>
  <c r="J120" i="1"/>
  <c r="J138" i="1"/>
  <c r="J106" i="1"/>
  <c r="J134" i="1"/>
  <c r="I159" i="1"/>
  <c r="J122" i="1"/>
  <c r="J140" i="1"/>
  <c r="D38" i="21"/>
  <c r="I113" i="1"/>
  <c r="L148" i="1"/>
  <c r="I136" i="1"/>
  <c r="I118" i="1"/>
  <c r="J104" i="1"/>
  <c r="L137" i="1"/>
  <c r="I116" i="1"/>
  <c r="I137" i="1"/>
  <c r="I127" i="1"/>
  <c r="L136" i="1"/>
  <c r="L104" i="1"/>
  <c r="L122" i="1"/>
  <c r="I143" i="1"/>
  <c r="J141" i="1"/>
  <c r="J110" i="1"/>
  <c r="K141" i="1"/>
  <c r="L118" i="1"/>
  <c r="J156" i="1"/>
  <c r="I151" i="1"/>
  <c r="K119" i="1"/>
  <c r="L121" i="1"/>
  <c r="M143" i="1"/>
  <c r="I121" i="1"/>
  <c r="I110" i="1"/>
  <c r="J149" i="1"/>
  <c r="J151" i="1"/>
  <c r="J118" i="1"/>
  <c r="K181" i="1"/>
  <c r="J137" i="1"/>
  <c r="J157" i="1"/>
  <c r="I140" i="1"/>
  <c r="L123" i="1"/>
  <c r="K148" i="1"/>
  <c r="K118" i="1"/>
  <c r="K114" i="1"/>
  <c r="L156" i="1"/>
  <c r="K144" i="1"/>
  <c r="L126" i="1"/>
  <c r="L106" i="1"/>
  <c r="K155" i="1"/>
  <c r="L102" i="1"/>
  <c r="J181" i="1"/>
  <c r="K107" i="1"/>
  <c r="K113" i="1"/>
  <c r="M108" i="1"/>
  <c r="K117" i="1"/>
  <c r="K110" i="1"/>
  <c r="L127" i="1"/>
  <c r="K156" i="1"/>
  <c r="M109" i="1"/>
  <c r="K124" i="1"/>
  <c r="L157" i="1"/>
  <c r="L113" i="1"/>
  <c r="L117" i="1"/>
  <c r="L158" i="1"/>
  <c r="J64" i="22"/>
  <c r="M115" i="1"/>
  <c r="J119" i="1"/>
  <c r="M123" i="1"/>
  <c r="F84" i="21"/>
  <c r="L108" i="1"/>
  <c r="L149" i="1"/>
  <c r="L139" i="1"/>
  <c r="K102" i="1"/>
  <c r="K158" i="1"/>
  <c r="L141" i="1"/>
  <c r="K64" i="22"/>
  <c r="K143" i="1"/>
  <c r="K126" i="1"/>
  <c r="K120" i="1"/>
  <c r="K116" i="1"/>
  <c r="K159" i="1"/>
  <c r="K136" i="1"/>
  <c r="K139" i="1"/>
  <c r="M105" i="1"/>
  <c r="K151" i="1"/>
  <c r="K121" i="1"/>
  <c r="K137" i="1"/>
  <c r="K123" i="1"/>
  <c r="L107" i="1"/>
  <c r="K104" i="1"/>
  <c r="L110" i="1"/>
  <c r="K140" i="1"/>
  <c r="M137" i="1"/>
  <c r="K106" i="1"/>
  <c r="M126" i="1"/>
  <c r="L109" i="1"/>
  <c r="M127" i="1"/>
  <c r="M119" i="1"/>
  <c r="M102" i="1"/>
  <c r="M140" i="1"/>
  <c r="L155" i="1"/>
  <c r="M158" i="1"/>
  <c r="M148" i="1"/>
  <c r="M141" i="1"/>
  <c r="L120" i="1"/>
  <c r="L138" i="1"/>
  <c r="M120" i="1"/>
  <c r="M156" i="1"/>
  <c r="M138" i="1"/>
  <c r="M116" i="1"/>
  <c r="M155" i="1"/>
  <c r="L142" i="1"/>
  <c r="L144" i="1"/>
  <c r="L119" i="1"/>
  <c r="M149" i="1"/>
  <c r="M114" i="1"/>
  <c r="M144" i="1"/>
  <c r="M136" i="1"/>
  <c r="M139" i="1"/>
  <c r="L143" i="1"/>
  <c r="L140" i="1"/>
  <c r="M118" i="1"/>
  <c r="M104" i="1"/>
  <c r="N158" i="1"/>
  <c r="L115" i="1"/>
  <c r="L116" i="1"/>
  <c r="L159" i="1"/>
  <c r="M106" i="1"/>
  <c r="M159" i="1"/>
  <c r="L105" i="1"/>
  <c r="M117" i="1"/>
  <c r="M110" i="1"/>
  <c r="M150" i="1"/>
  <c r="L150" i="1"/>
  <c r="M142" i="1"/>
  <c r="M124" i="1"/>
  <c r="L151" i="1"/>
  <c r="L114" i="1"/>
  <c r="L134" i="1"/>
  <c r="M113" i="1"/>
  <c r="M157" i="1"/>
  <c r="M121" i="1"/>
  <c r="M134" i="1"/>
  <c r="M151" i="1"/>
  <c r="M107" i="1"/>
  <c r="N127" i="1"/>
  <c r="N102" i="1"/>
  <c r="L181" i="1"/>
  <c r="N107" i="1"/>
  <c r="M122" i="1"/>
  <c r="N121" i="1"/>
  <c r="N116" i="1"/>
  <c r="N139" i="1"/>
  <c r="N157" i="1"/>
  <c r="N106" i="1"/>
  <c r="N122" i="1"/>
  <c r="N104" i="1"/>
  <c r="N114" i="1"/>
  <c r="N148" i="1"/>
  <c r="N108" i="1"/>
  <c r="N115" i="1"/>
  <c r="N149" i="1"/>
  <c r="N151" i="1"/>
  <c r="N141" i="1"/>
  <c r="N143" i="1"/>
  <c r="N110" i="1"/>
  <c r="N136" i="1"/>
  <c r="N134" i="1"/>
  <c r="N155" i="1"/>
  <c r="N150" i="1"/>
  <c r="N156" i="1"/>
  <c r="N118" i="1"/>
  <c r="N105" i="1"/>
  <c r="N124" i="1"/>
  <c r="N137" i="1"/>
  <c r="N159" i="1"/>
  <c r="N142" i="1"/>
  <c r="N138" i="1"/>
  <c r="N120" i="1"/>
  <c r="N117" i="1"/>
  <c r="N123" i="1"/>
  <c r="N140" i="1"/>
  <c r="N109" i="1"/>
  <c r="N144" i="1"/>
  <c r="N113" i="1"/>
  <c r="N126" i="1"/>
  <c r="N119" i="1"/>
  <c r="M181" i="1"/>
  <c r="AD76" i="1"/>
  <c r="N181" i="1"/>
  <c r="AE76" i="1"/>
  <c r="AG76" i="1"/>
  <c r="AH76" i="1"/>
  <c r="AF76" i="1"/>
  <c r="AI76" i="1"/>
  <c r="AJ76" i="1"/>
  <c r="AK76" i="1"/>
  <c r="H27" i="1"/>
  <c r="G65" i="1"/>
  <c r="G61" i="1"/>
  <c r="G68" i="1"/>
  <c r="H71" i="1"/>
  <c r="F15" i="1"/>
  <c r="G19" i="1"/>
  <c r="G80" i="1"/>
  <c r="G45" i="1"/>
  <c r="G78" i="1"/>
  <c r="G17" i="1"/>
  <c r="G35" i="1"/>
  <c r="G90" i="1"/>
  <c r="G16" i="1"/>
  <c r="G42" i="1"/>
  <c r="H185" i="1"/>
  <c r="G11" i="1"/>
  <c r="G13" i="1"/>
  <c r="G67" i="1"/>
  <c r="F17" i="1"/>
  <c r="G94" i="1"/>
  <c r="G69" i="1"/>
  <c r="F16" i="1"/>
  <c r="F19" i="1"/>
  <c r="G191" i="1"/>
  <c r="H54" i="22" s="1"/>
  <c r="G12" i="1"/>
  <c r="F21" i="1"/>
  <c r="G18" i="1"/>
  <c r="H61" i="22" s="1"/>
  <c r="F18" i="1"/>
  <c r="F9" i="1"/>
  <c r="G79" i="1"/>
  <c r="G169" i="1"/>
  <c r="H63" i="22" s="1"/>
  <c r="G72" i="1"/>
  <c r="G47" i="1"/>
  <c r="G93" i="1"/>
  <c r="F20" i="1"/>
  <c r="G10" i="1"/>
  <c r="G55" i="1"/>
  <c r="H169" i="1"/>
  <c r="I63" i="22" s="1"/>
  <c r="G14" i="1"/>
  <c r="G24" i="1"/>
  <c r="F12" i="1"/>
  <c r="I82" i="1"/>
  <c r="G34" i="1"/>
  <c r="H93" i="1"/>
  <c r="H15" i="1"/>
  <c r="G15" i="1"/>
  <c r="H57" i="1"/>
  <c r="G56" i="1"/>
  <c r="G58" i="1"/>
  <c r="G59" i="1"/>
  <c r="G76" i="1"/>
  <c r="G190" i="1"/>
  <c r="G60" i="1"/>
  <c r="H45" i="1"/>
  <c r="G183" i="1"/>
  <c r="G187" i="1" s="1"/>
  <c r="G71" i="1"/>
  <c r="H78" i="1"/>
  <c r="H183" i="1"/>
  <c r="H187" i="1" s="1"/>
  <c r="G77" i="1"/>
  <c r="G41" i="1"/>
  <c r="H43" i="1"/>
  <c r="G46" i="1"/>
  <c r="H81" i="1"/>
  <c r="H14" i="1"/>
  <c r="F13" i="1"/>
  <c r="H50" i="1"/>
  <c r="H21" i="1"/>
  <c r="H56" i="1"/>
  <c r="H41" i="1"/>
  <c r="G66" i="1"/>
  <c r="G64" i="1"/>
  <c r="H54" i="1"/>
  <c r="H87" i="1"/>
  <c r="H79" i="1"/>
  <c r="F14" i="1"/>
  <c r="G48" i="1"/>
  <c r="H9" i="1"/>
  <c r="H11" i="1"/>
  <c r="G81" i="1"/>
  <c r="H13" i="1"/>
  <c r="H191" i="1"/>
  <c r="I54" i="22" s="1"/>
  <c r="F24" i="1"/>
  <c r="H76" i="1"/>
  <c r="G185" i="1"/>
  <c r="G43" i="1"/>
  <c r="G51" i="1"/>
  <c r="F10" i="1"/>
  <c r="H89" i="1"/>
  <c r="G23" i="1"/>
  <c r="J69" i="1"/>
  <c r="G49" i="1"/>
  <c r="I46" i="1"/>
  <c r="H16" i="1"/>
  <c r="G40" i="1"/>
  <c r="I39" i="1"/>
  <c r="H65" i="1"/>
  <c r="I80" i="1"/>
  <c r="H47" i="1"/>
  <c r="H86" i="1"/>
  <c r="H77" i="1"/>
  <c r="H44" i="1"/>
  <c r="I81" i="1"/>
  <c r="H59" i="1"/>
  <c r="H94" i="1"/>
  <c r="H92" i="1"/>
  <c r="I42" i="22" s="1"/>
  <c r="H66" i="1"/>
  <c r="I43" i="1"/>
  <c r="I60" i="1"/>
  <c r="I48" i="1"/>
  <c r="I68" i="1"/>
  <c r="H38" i="1"/>
  <c r="G44" i="1"/>
  <c r="G21" i="1"/>
  <c r="G87" i="1"/>
  <c r="H69" i="1"/>
  <c r="H23" i="1"/>
  <c r="I42" i="1"/>
  <c r="H48" i="1"/>
  <c r="I35" i="1"/>
  <c r="I69" i="1"/>
  <c r="H12" i="1"/>
  <c r="G54" i="1"/>
  <c r="G8" i="1"/>
  <c r="I66" i="1"/>
  <c r="I65" i="1"/>
  <c r="I38" i="1"/>
  <c r="H91" i="1"/>
  <c r="G39" i="1"/>
  <c r="G88" i="1"/>
  <c r="H190" i="1"/>
  <c r="G37" i="1"/>
  <c r="I44" i="1"/>
  <c r="G9" i="1"/>
  <c r="G36" i="1"/>
  <c r="H34" i="1"/>
  <c r="I70" i="1"/>
  <c r="H88" i="1"/>
  <c r="H82" i="1"/>
  <c r="H36" i="1"/>
  <c r="I49" i="1"/>
  <c r="H61" i="1"/>
  <c r="I59" i="1"/>
  <c r="I41" i="1"/>
  <c r="I51" i="1"/>
  <c r="H37" i="1"/>
  <c r="G82" i="1"/>
  <c r="H42" i="1"/>
  <c r="F23" i="1"/>
  <c r="H39" i="1"/>
  <c r="H46" i="1"/>
  <c r="G91" i="1"/>
  <c r="H40" i="1"/>
  <c r="G92" i="1"/>
  <c r="H18" i="1"/>
  <c r="I61" i="22" s="1"/>
  <c r="H60" i="1"/>
  <c r="H90" i="1"/>
  <c r="H10" i="1"/>
  <c r="H67" i="1"/>
  <c r="G50" i="1"/>
  <c r="H55" i="1"/>
  <c r="H35" i="1"/>
  <c r="H58" i="1"/>
  <c r="G70" i="1"/>
  <c r="H20" i="1"/>
  <c r="F11" i="1"/>
  <c r="H8" i="1"/>
  <c r="H83" i="1"/>
  <c r="I41" i="22" s="1"/>
  <c r="H19" i="1"/>
  <c r="G38" i="1"/>
  <c r="F8" i="1"/>
  <c r="H49" i="1"/>
  <c r="H51" i="1"/>
  <c r="G86" i="1"/>
  <c r="H17" i="1"/>
  <c r="H70" i="1"/>
  <c r="G57" i="1"/>
  <c r="H72" i="1"/>
  <c r="H24" i="1"/>
  <c r="H80" i="1"/>
  <c r="H64" i="1"/>
  <c r="H68" i="1"/>
  <c r="G89" i="1"/>
  <c r="G83" i="1"/>
  <c r="G20" i="1"/>
  <c r="K36" i="1"/>
  <c r="J93" i="1"/>
  <c r="J45" i="1"/>
  <c r="J67" i="1"/>
  <c r="M65" i="1"/>
  <c r="I89" i="1"/>
  <c r="I56" i="1"/>
  <c r="K77" i="1"/>
  <c r="I67" i="1"/>
  <c r="K81" i="1"/>
  <c r="I45" i="1"/>
  <c r="I40" i="1"/>
  <c r="I37" i="1"/>
  <c r="K46" i="1"/>
  <c r="I77" i="1"/>
  <c r="J38" i="1"/>
  <c r="I79" i="1"/>
  <c r="I61" i="1"/>
  <c r="I21" i="1"/>
  <c r="I50" i="1"/>
  <c r="K51" i="1"/>
  <c r="I36" i="1"/>
  <c r="I78" i="1"/>
  <c r="J21" i="1"/>
  <c r="I55" i="1"/>
  <c r="K35" i="1"/>
  <c r="I93" i="1"/>
  <c r="I58" i="1"/>
  <c r="I71" i="1"/>
  <c r="J68" i="1"/>
  <c r="J60" i="1"/>
  <c r="K59" i="1"/>
  <c r="I57" i="1"/>
  <c r="J77" i="1"/>
  <c r="I16" i="1"/>
  <c r="J81" i="1"/>
  <c r="J80" i="1"/>
  <c r="J41" i="1"/>
  <c r="J82" i="1"/>
  <c r="M49" i="1"/>
  <c r="K61" i="1"/>
  <c r="K38" i="1"/>
  <c r="J43" i="1"/>
  <c r="J70" i="1"/>
  <c r="K49" i="1"/>
  <c r="J56" i="1"/>
  <c r="K37" i="1"/>
  <c r="K82" i="1"/>
  <c r="M57" i="1"/>
  <c r="M61" i="1"/>
  <c r="J59" i="1"/>
  <c r="K68" i="1"/>
  <c r="J55" i="1"/>
  <c r="J42" i="1"/>
  <c r="K69" i="1"/>
  <c r="K40" i="1"/>
  <c r="J78" i="1"/>
  <c r="K58" i="1"/>
  <c r="K67" i="1"/>
  <c r="K44" i="1"/>
  <c r="K57" i="1"/>
  <c r="M70" i="1"/>
  <c r="J40" i="1"/>
  <c r="K45" i="1"/>
  <c r="M21" i="1"/>
  <c r="J65" i="1"/>
  <c r="M80" i="1"/>
  <c r="J48" i="1"/>
  <c r="J35" i="1"/>
  <c r="J36" i="1"/>
  <c r="J46" i="1"/>
  <c r="K65" i="1"/>
  <c r="J89" i="1"/>
  <c r="K41" i="1"/>
  <c r="K21" i="1"/>
  <c r="K43" i="1"/>
  <c r="K60" i="1"/>
  <c r="K78" i="1"/>
  <c r="K39" i="1"/>
  <c r="K93" i="1"/>
  <c r="K89" i="1"/>
  <c r="K79" i="1"/>
  <c r="J58" i="1"/>
  <c r="M48" i="1"/>
  <c r="K42" i="1"/>
  <c r="J49" i="1"/>
  <c r="J57" i="1"/>
  <c r="J66" i="1"/>
  <c r="J71" i="1"/>
  <c r="J39" i="1"/>
  <c r="K66" i="1"/>
  <c r="K80" i="1"/>
  <c r="J37" i="1"/>
  <c r="M67" i="1"/>
  <c r="K55" i="1"/>
  <c r="K56" i="1"/>
  <c r="K50" i="1"/>
  <c r="J16" i="1"/>
  <c r="J61" i="1"/>
  <c r="J79" i="1"/>
  <c r="J50" i="1"/>
  <c r="K71" i="1"/>
  <c r="K16" i="1"/>
  <c r="K48" i="1"/>
  <c r="M82" i="1"/>
  <c r="L78" i="1"/>
  <c r="M43" i="1"/>
  <c r="L77" i="1"/>
  <c r="L51" i="1"/>
  <c r="J44" i="1"/>
  <c r="M79" i="1"/>
  <c r="M37" i="1"/>
  <c r="M58" i="1"/>
  <c r="L50" i="1"/>
  <c r="M66" i="1"/>
  <c r="L36" i="1"/>
  <c r="K70" i="1"/>
  <c r="M46" i="1"/>
  <c r="L66" i="1"/>
  <c r="M50" i="1"/>
  <c r="M41" i="1"/>
  <c r="M36" i="1"/>
  <c r="L49" i="1"/>
  <c r="L93" i="1"/>
  <c r="M59" i="1"/>
  <c r="L45" i="1"/>
  <c r="L70" i="1"/>
  <c r="L67" i="1"/>
  <c r="M68" i="1"/>
  <c r="L71" i="1"/>
  <c r="M16" i="1"/>
  <c r="L40" i="1"/>
  <c r="L81" i="1"/>
  <c r="L82" i="1"/>
  <c r="M51" i="1"/>
  <c r="J51" i="1"/>
  <c r="L37" i="1"/>
  <c r="L69" i="1"/>
  <c r="M89" i="1"/>
  <c r="L39" i="1"/>
  <c r="L80" i="1"/>
  <c r="L89" i="1"/>
  <c r="L79" i="1"/>
  <c r="L21" i="1"/>
  <c r="M93" i="1"/>
  <c r="L56" i="1"/>
  <c r="M78" i="1"/>
  <c r="L55" i="1"/>
  <c r="N43" i="1"/>
  <c r="M40" i="1"/>
  <c r="M69" i="1"/>
  <c r="M56" i="1"/>
  <c r="M60" i="1"/>
  <c r="L57" i="1"/>
  <c r="L61" i="1"/>
  <c r="L16" i="1"/>
  <c r="M45" i="1"/>
  <c r="L58" i="1"/>
  <c r="M77" i="1"/>
  <c r="L68" i="1"/>
  <c r="M39" i="1"/>
  <c r="L60" i="1"/>
  <c r="M81" i="1"/>
  <c r="L48" i="1"/>
  <c r="L44" i="1"/>
  <c r="L46" i="1"/>
  <c r="L42" i="1"/>
  <c r="M42" i="1"/>
  <c r="M44" i="1"/>
  <c r="M71" i="1"/>
  <c r="N70" i="1"/>
  <c r="M55" i="1"/>
  <c r="L38" i="1"/>
  <c r="N82" i="1"/>
  <c r="L41" i="1"/>
  <c r="N68" i="1"/>
  <c r="N67" i="1"/>
  <c r="L35" i="1"/>
  <c r="N44" i="1"/>
  <c r="L59" i="1"/>
  <c r="N35" i="1"/>
  <c r="M35" i="1"/>
  <c r="L43" i="1"/>
  <c r="M38" i="1"/>
  <c r="N49" i="1"/>
  <c r="N78" i="1"/>
  <c r="N51" i="1"/>
  <c r="N65" i="1"/>
  <c r="N39" i="1"/>
  <c r="N81" i="1"/>
  <c r="N69" i="1"/>
  <c r="N71" i="1"/>
  <c r="N50" i="1"/>
  <c r="N58" i="1"/>
  <c r="N38" i="1"/>
  <c r="N55" i="1"/>
  <c r="N40" i="1"/>
  <c r="N42" i="1"/>
  <c r="N45" i="1"/>
  <c r="N80" i="1"/>
  <c r="N61" i="1"/>
  <c r="N66" i="1"/>
  <c r="N37" i="1"/>
  <c r="N36" i="1"/>
  <c r="N93" i="1"/>
  <c r="N48" i="1"/>
  <c r="L65" i="1"/>
  <c r="N59" i="1"/>
  <c r="N60" i="1"/>
  <c r="N41" i="1"/>
  <c r="N57" i="1"/>
  <c r="N46" i="1"/>
  <c r="N16" i="1"/>
  <c r="N56" i="1"/>
  <c r="N77" i="1"/>
  <c r="N21" i="1"/>
  <c r="N79" i="1"/>
  <c r="N89" i="1"/>
  <c r="G27" i="1"/>
  <c r="V82" i="14"/>
  <c r="X82" i="14"/>
  <c r="W82" i="14"/>
  <c r="Y82" i="14"/>
  <c r="Z82" i="14"/>
  <c r="AB82" i="14"/>
  <c r="AA82" i="14"/>
  <c r="AC82" i="14"/>
  <c r="BA113" i="14"/>
  <c r="H9" i="16"/>
  <c r="I11" i="16"/>
  <c r="G9" i="16"/>
  <c r="G22" i="16"/>
  <c r="F23" i="12" s="1"/>
  <c r="G10" i="16"/>
  <c r="H11" i="16"/>
  <c r="G11" i="16"/>
  <c r="H22" i="16"/>
  <c r="G23" i="12" s="1"/>
  <c r="H10" i="16"/>
  <c r="H15" i="16" s="1"/>
  <c r="J11" i="16"/>
  <c r="G36" i="16"/>
  <c r="R25" i="20"/>
  <c r="AI26" i="20"/>
  <c r="W25" i="20"/>
  <c r="Y26" i="20"/>
  <c r="AJ26" i="20"/>
  <c r="AH26" i="20"/>
  <c r="AA25" i="20"/>
  <c r="AK26" i="20"/>
  <c r="AF26" i="20"/>
  <c r="AG26" i="20"/>
  <c r="V26" i="20"/>
  <c r="S25" i="20"/>
  <c r="U26" i="20"/>
  <c r="AA26" i="20"/>
  <c r="AB26" i="20"/>
  <c r="AE26" i="20"/>
  <c r="T26" i="20"/>
  <c r="X26" i="20"/>
  <c r="T25" i="20"/>
  <c r="V25" i="20"/>
  <c r="Y25" i="20"/>
  <c r="AC26" i="20"/>
  <c r="W26" i="20"/>
  <c r="X25" i="20"/>
  <c r="Z26" i="20"/>
  <c r="AB25" i="20"/>
  <c r="R26" i="20"/>
  <c r="AC25" i="20"/>
  <c r="S26" i="20"/>
  <c r="Z25" i="20"/>
  <c r="AD26" i="20"/>
  <c r="U25" i="20"/>
  <c r="R22" i="9"/>
  <c r="T22" i="9"/>
  <c r="R21" i="9"/>
  <c r="S22" i="9"/>
  <c r="S21" i="9"/>
  <c r="T21" i="9"/>
  <c r="W108" i="9"/>
  <c r="U22" i="9"/>
  <c r="U21" i="9"/>
  <c r="Y22" i="9"/>
  <c r="W107" i="9"/>
  <c r="W112" i="9" s="1"/>
  <c r="W109" i="9" s="1"/>
  <c r="V108" i="9"/>
  <c r="V21" i="9"/>
  <c r="V22" i="9"/>
  <c r="V107" i="9"/>
  <c r="W21" i="9"/>
  <c r="Y21" i="9"/>
  <c r="X21" i="9"/>
  <c r="X22" i="9"/>
  <c r="X108" i="9"/>
  <c r="X107" i="9"/>
  <c r="X112" i="9" s="1"/>
  <c r="X109" i="9" s="1"/>
  <c r="Z107" i="9"/>
  <c r="Z112" i="9" s="1"/>
  <c r="Z109" i="9" s="1"/>
  <c r="Y107" i="9"/>
  <c r="Y112" i="9" s="1"/>
  <c r="Y109" i="9" s="1"/>
  <c r="AA22" i="9"/>
  <c r="Y108" i="9"/>
  <c r="Z108" i="9"/>
  <c r="W22" i="9"/>
  <c r="AA107" i="9"/>
  <c r="AA112" i="9" s="1"/>
  <c r="AA109" i="9" s="1"/>
  <c r="Z22" i="9"/>
  <c r="AB108" i="9"/>
  <c r="Z21" i="9"/>
  <c r="AB22" i="9"/>
  <c r="AC21" i="9"/>
  <c r="AA108" i="9"/>
  <c r="AB21" i="9"/>
  <c r="AA21" i="9"/>
  <c r="AA20" i="9" s="1"/>
  <c r="AE22" i="9"/>
  <c r="AC107" i="9"/>
  <c r="AC112" i="9" s="1"/>
  <c r="AC109" i="9" s="1"/>
  <c r="AB107" i="9"/>
  <c r="AB112" i="9" s="1"/>
  <c r="AB109" i="9" s="1"/>
  <c r="AD22" i="9"/>
  <c r="AC108" i="9"/>
  <c r="AC22" i="9"/>
  <c r="AG22" i="9"/>
  <c r="AF22" i="9"/>
  <c r="AI22" i="9"/>
  <c r="AH22" i="9"/>
  <c r="AJ22" i="9"/>
  <c r="AK22" i="9"/>
  <c r="W101" i="9"/>
  <c r="W104" i="9" s="1"/>
  <c r="V101" i="9"/>
  <c r="V104" i="9" s="1"/>
  <c r="T17" i="9"/>
  <c r="U21" i="20"/>
  <c r="H42" i="15"/>
  <c r="H99" i="9"/>
  <c r="S21" i="20"/>
  <c r="AC21" i="20"/>
  <c r="Y21" i="20"/>
  <c r="Y17" i="9"/>
  <c r="F22" i="20"/>
  <c r="R21" i="20"/>
  <c r="H21" i="15"/>
  <c r="G18" i="9"/>
  <c r="AC65" i="9"/>
  <c r="H65" i="9" s="1"/>
  <c r="AC103" i="9"/>
  <c r="AC100" i="9" s="1"/>
  <c r="AC101" i="9" s="1"/>
  <c r="AC104" i="9" s="1"/>
  <c r="U17" i="9"/>
  <c r="F23" i="20"/>
  <c r="AB21" i="20"/>
  <c r="AB17" i="9"/>
  <c r="S17" i="9"/>
  <c r="H22" i="15"/>
  <c r="H23" i="15"/>
  <c r="W17" i="9"/>
  <c r="X21" i="20"/>
  <c r="AB101" i="9"/>
  <c r="AB104" i="9" s="1"/>
  <c r="Y65" i="9"/>
  <c r="Y103" i="9"/>
  <c r="Y100" i="9" s="1"/>
  <c r="Y101" i="9" s="1"/>
  <c r="Y104" i="9" s="1"/>
  <c r="AB65" i="9"/>
  <c r="AB33" i="3" s="1"/>
  <c r="H22" i="20"/>
  <c r="Z21" i="20"/>
  <c r="V21" i="20"/>
  <c r="G22" i="20"/>
  <c r="T21" i="20"/>
  <c r="G38" i="15"/>
  <c r="AC17" i="9"/>
  <c r="AA17" i="9"/>
  <c r="Z17" i="9"/>
  <c r="V17" i="9"/>
  <c r="AA21" i="20"/>
  <c r="H23" i="20"/>
  <c r="H38" i="15"/>
  <c r="Z65" i="9"/>
  <c r="Z33" i="3" s="1"/>
  <c r="Z103" i="9"/>
  <c r="Z100" i="9" s="1"/>
  <c r="Z101" i="9" s="1"/>
  <c r="Z104" i="9" s="1"/>
  <c r="X103" i="9"/>
  <c r="X100" i="9" s="1"/>
  <c r="X101" i="9" s="1"/>
  <c r="AA65" i="9"/>
  <c r="AA33" i="3" s="1"/>
  <c r="G42" i="15"/>
  <c r="AA101" i="9"/>
  <c r="AA104" i="9" s="1"/>
  <c r="X17" i="9"/>
  <c r="G23" i="20"/>
  <c r="G45" i="14"/>
  <c r="G20" i="14"/>
  <c r="F17" i="14"/>
  <c r="G48" i="14"/>
  <c r="H50" i="14"/>
  <c r="F19" i="14"/>
  <c r="H18" i="14"/>
  <c r="G41" i="14"/>
  <c r="F21" i="12" s="1"/>
  <c r="H17" i="14"/>
  <c r="G52" i="14"/>
  <c r="H42" i="14"/>
  <c r="H55" i="14"/>
  <c r="H51" i="14"/>
  <c r="H22" i="14"/>
  <c r="G18" i="14"/>
  <c r="H45" i="14"/>
  <c r="F20" i="14"/>
  <c r="H53" i="14"/>
  <c r="F22" i="14"/>
  <c r="H44" i="14"/>
  <c r="G53" i="14"/>
  <c r="H43" i="14"/>
  <c r="G19" i="14"/>
  <c r="G40" i="14"/>
  <c r="H47" i="14"/>
  <c r="H41" i="14"/>
  <c r="G21" i="12" s="1"/>
  <c r="H56" i="14"/>
  <c r="G42" i="14"/>
  <c r="H40" i="14"/>
  <c r="H48" i="14"/>
  <c r="H19" i="14"/>
  <c r="G46" i="14"/>
  <c r="G51" i="14"/>
  <c r="G50" i="14"/>
  <c r="G43" i="14"/>
  <c r="G56" i="14"/>
  <c r="H52" i="14"/>
  <c r="G44" i="14"/>
  <c r="G47" i="14"/>
  <c r="G55" i="14"/>
  <c r="G17" i="14"/>
  <c r="G22" i="14"/>
  <c r="H20" i="14"/>
  <c r="F18" i="14"/>
  <c r="H46" i="14"/>
  <c r="Z19" i="20"/>
  <c r="AA18" i="20"/>
  <c r="T17" i="20"/>
  <c r="V19" i="20"/>
  <c r="Y20" i="20"/>
  <c r="R20" i="20"/>
  <c r="AB20" i="20"/>
  <c r="Y18" i="20"/>
  <c r="S17" i="20"/>
  <c r="U18" i="20"/>
  <c r="W19" i="20"/>
  <c r="AA17" i="20"/>
  <c r="U20" i="20"/>
  <c r="T18" i="20"/>
  <c r="S18" i="20"/>
  <c r="AC20" i="20"/>
  <c r="R19" i="20"/>
  <c r="AB17" i="20"/>
  <c r="W20" i="20"/>
  <c r="U19" i="20"/>
  <c r="V17" i="20"/>
  <c r="V20" i="20"/>
  <c r="Y19" i="20"/>
  <c r="X18" i="20"/>
  <c r="AC17" i="20"/>
  <c r="Z20" i="20"/>
  <c r="AA19" i="20"/>
  <c r="W17" i="20"/>
  <c r="AB18" i="20"/>
  <c r="S14" i="9"/>
  <c r="U17" i="20"/>
  <c r="U15" i="9"/>
  <c r="R15" i="9"/>
  <c r="S20" i="20"/>
  <c r="X17" i="20"/>
  <c r="V18" i="20"/>
  <c r="T20" i="20"/>
  <c r="R16" i="9"/>
  <c r="R18" i="20"/>
  <c r="T19" i="20"/>
  <c r="AC18" i="20"/>
  <c r="Z17" i="20"/>
  <c r="X19" i="20"/>
  <c r="S19" i="20"/>
  <c r="AC19" i="20"/>
  <c r="W18" i="20"/>
  <c r="R17" i="20"/>
  <c r="AA20" i="20"/>
  <c r="Z18" i="20"/>
  <c r="X20" i="20"/>
  <c r="Y17" i="20"/>
  <c r="AB19" i="20"/>
  <c r="V13" i="9"/>
  <c r="V30" i="9" s="1"/>
  <c r="U16" i="9"/>
  <c r="U14" i="9"/>
  <c r="S16" i="9"/>
  <c r="T13" i="9"/>
  <c r="R14" i="9"/>
  <c r="T16" i="9"/>
  <c r="S13" i="9"/>
  <c r="R13" i="9"/>
  <c r="S15" i="9"/>
  <c r="V15" i="9"/>
  <c r="U13" i="9"/>
  <c r="T14" i="9"/>
  <c r="T15" i="9"/>
  <c r="W14" i="9"/>
  <c r="X14" i="9"/>
  <c r="W15" i="9"/>
  <c r="V16" i="9"/>
  <c r="V89" i="9"/>
  <c r="V94" i="9" s="1"/>
  <c r="V91" i="9" s="1"/>
  <c r="X90" i="9"/>
  <c r="V14" i="9"/>
  <c r="V90" i="9"/>
  <c r="Y15" i="9"/>
  <c r="Y16" i="9"/>
  <c r="W13" i="9"/>
  <c r="W30" i="9" s="1"/>
  <c r="W16" i="9"/>
  <c r="W90" i="9"/>
  <c r="X89" i="9"/>
  <c r="X94" i="9" s="1"/>
  <c r="X91" i="9" s="1"/>
  <c r="X92" i="9" s="1"/>
  <c r="X95" i="9" s="1"/>
  <c r="X15" i="9"/>
  <c r="X16" i="9"/>
  <c r="Y90" i="9"/>
  <c r="Y89" i="9"/>
  <c r="Y94" i="9" s="1"/>
  <c r="Y91" i="9" s="1"/>
  <c r="AA15" i="9"/>
  <c r="Y14" i="9"/>
  <c r="X13" i="9"/>
  <c r="X30" i="9" s="1"/>
  <c r="Z13" i="9"/>
  <c r="Z30" i="9" s="1"/>
  <c r="W89" i="9"/>
  <c r="W94" i="9" s="1"/>
  <c r="W91" i="9" s="1"/>
  <c r="Y13" i="9"/>
  <c r="Y30" i="9" s="1"/>
  <c r="Z14" i="9"/>
  <c r="AA13" i="9"/>
  <c r="AA30" i="9" s="1"/>
  <c r="AB15" i="9"/>
  <c r="AB14" i="9"/>
  <c r="Z90" i="9"/>
  <c r="Z16" i="9"/>
  <c r="Z15" i="9"/>
  <c r="AA14" i="9"/>
  <c r="AB89" i="9"/>
  <c r="AB94" i="9" s="1"/>
  <c r="AB91" i="9" s="1"/>
  <c r="Z89" i="9"/>
  <c r="Z94" i="9" s="1"/>
  <c r="Z91" i="9" s="1"/>
  <c r="AA16" i="9"/>
  <c r="AA89" i="9"/>
  <c r="AA94" i="9" s="1"/>
  <c r="AA91" i="9" s="1"/>
  <c r="AA90" i="9"/>
  <c r="AB13" i="9"/>
  <c r="AB30" i="9" s="1"/>
  <c r="AB16" i="9"/>
  <c r="AB90" i="9"/>
  <c r="AC16" i="9"/>
  <c r="AC90" i="9"/>
  <c r="AC15" i="9"/>
  <c r="AC89" i="9"/>
  <c r="AC94" i="9" s="1"/>
  <c r="AC91" i="9" s="1"/>
  <c r="AC14" i="9"/>
  <c r="AC13" i="9"/>
  <c r="AC30" i="9" s="1"/>
  <c r="F6" i="12"/>
  <c r="F70" i="12" s="1"/>
  <c r="G6" i="12"/>
  <c r="G70" i="12" s="1"/>
  <c r="H6" i="12"/>
  <c r="I6" i="12"/>
  <c r="J6" i="12"/>
  <c r="K6" i="12"/>
  <c r="L6" i="12"/>
  <c r="W9" i="15"/>
  <c r="AC9" i="14"/>
  <c r="W9" i="14"/>
  <c r="S9" i="14"/>
  <c r="AA9" i="20"/>
  <c r="X9" i="20"/>
  <c r="U9" i="15"/>
  <c r="T9" i="15"/>
  <c r="V9" i="14"/>
  <c r="Z9" i="14"/>
  <c r="Y9" i="20"/>
  <c r="T9" i="20"/>
  <c r="R9" i="14"/>
  <c r="AD9" i="15"/>
  <c r="V9" i="20"/>
  <c r="W9" i="20"/>
  <c r="V9" i="15"/>
  <c r="S9" i="20"/>
  <c r="AD9" i="20"/>
  <c r="AA9" i="15"/>
  <c r="AB9" i="20"/>
  <c r="Y9" i="15"/>
  <c r="AC9" i="15"/>
  <c r="Z9" i="20"/>
  <c r="S9" i="15"/>
  <c r="T9" i="14"/>
  <c r="Z9" i="15"/>
  <c r="R9" i="20"/>
  <c r="AB9" i="14"/>
  <c r="U9" i="14"/>
  <c r="R9" i="15"/>
  <c r="X9" i="14"/>
  <c r="AA9" i="14"/>
  <c r="AB9" i="15"/>
  <c r="AD9" i="14"/>
  <c r="X9" i="15"/>
  <c r="U9" i="20"/>
  <c r="Y9" i="14"/>
  <c r="AC9" i="20"/>
  <c r="AF9" i="20"/>
  <c r="AG9" i="20"/>
  <c r="AE9" i="14"/>
  <c r="AE9" i="20"/>
  <c r="AF9" i="14"/>
  <c r="AF9" i="15"/>
  <c r="AE9" i="15"/>
  <c r="AH9" i="15"/>
  <c r="AG9" i="14"/>
  <c r="AH9" i="14"/>
  <c r="AG9" i="15"/>
  <c r="AH9" i="20"/>
  <c r="AI9" i="15"/>
  <c r="AI9" i="14"/>
  <c r="AJ9" i="14"/>
  <c r="AJ9" i="20"/>
  <c r="AJ9" i="15"/>
  <c r="AI9" i="20"/>
  <c r="AK9" i="14"/>
  <c r="AK9" i="20"/>
  <c r="AK9" i="15"/>
  <c r="AM9" i="15"/>
  <c r="AM9" i="20"/>
  <c r="AL9" i="15"/>
  <c r="AL9" i="14"/>
  <c r="AM9" i="14"/>
  <c r="AL9" i="20"/>
  <c r="AN9" i="20"/>
  <c r="AN9" i="14"/>
  <c r="AN9" i="15"/>
  <c r="AO9" i="20"/>
  <c r="AO9" i="15"/>
  <c r="AP9" i="15"/>
  <c r="AO9" i="14"/>
  <c r="AQ9" i="15"/>
  <c r="AQ9" i="20"/>
  <c r="AP9" i="20"/>
  <c r="AP9" i="14"/>
  <c r="AQ9" i="14"/>
  <c r="AR9" i="20"/>
  <c r="AR9" i="15"/>
  <c r="AR9" i="14"/>
  <c r="AS9" i="15"/>
  <c r="AT9" i="20"/>
  <c r="AT9" i="15"/>
  <c r="AS9" i="14"/>
  <c r="AS9" i="20"/>
  <c r="AU9" i="20"/>
  <c r="AT9" i="14"/>
  <c r="AU9" i="14"/>
  <c r="AU9" i="15"/>
  <c r="AW9" i="14"/>
  <c r="AV9" i="15"/>
  <c r="AV9" i="20"/>
  <c r="AV9" i="14"/>
  <c r="AZ9" i="14"/>
  <c r="AW9" i="20"/>
  <c r="AW9" i="15"/>
  <c r="BA9" i="15"/>
  <c r="AX9" i="15"/>
  <c r="AX9" i="20"/>
  <c r="AX9" i="14"/>
  <c r="AY9" i="20"/>
  <c r="BA9" i="14"/>
  <c r="AY9" i="14"/>
  <c r="AY9" i="15"/>
  <c r="AZ9" i="20"/>
  <c r="BA9" i="20"/>
  <c r="AZ9" i="15"/>
  <c r="H52" i="9"/>
  <c r="F19" i="9"/>
  <c r="G19" i="9"/>
  <c r="H19" i="9"/>
  <c r="I22" i="22" s="1"/>
  <c r="G62" i="9"/>
  <c r="H60" i="22"/>
  <c r="G60" i="9"/>
  <c r="G98" i="9"/>
  <c r="G103" i="9" s="1"/>
  <c r="H98" i="9"/>
  <c r="L126" i="9"/>
  <c r="H62" i="9"/>
  <c r="G63" i="9" s="1"/>
  <c r="I36" i="22"/>
  <c r="I60" i="22"/>
  <c r="G126" i="9"/>
  <c r="H32" i="3"/>
  <c r="G123" i="9"/>
  <c r="H18" i="9"/>
  <c r="M126" i="9"/>
  <c r="K123" i="9"/>
  <c r="I123" i="9"/>
  <c r="H60" i="9"/>
  <c r="I34" i="22"/>
  <c r="L123" i="9"/>
  <c r="G57" i="9"/>
  <c r="G32" i="3"/>
  <c r="P125" i="9"/>
  <c r="N126" i="9"/>
  <c r="H38" i="13"/>
  <c r="H14" i="13"/>
  <c r="G15" i="13"/>
  <c r="H12" i="13"/>
  <c r="H40" i="13"/>
  <c r="G12" i="13"/>
  <c r="H15" i="13"/>
  <c r="H36" i="13"/>
  <c r="G40" i="13"/>
  <c r="G38" i="13"/>
  <c r="H39" i="13"/>
  <c r="G32" i="13"/>
  <c r="G39" i="13"/>
  <c r="H13" i="13"/>
  <c r="G14" i="13"/>
  <c r="H37" i="13"/>
  <c r="G35" i="13"/>
  <c r="G37" i="13"/>
  <c r="G36" i="13"/>
  <c r="G34" i="13"/>
  <c r="G33" i="13"/>
  <c r="F20" i="12" s="1"/>
  <c r="H43" i="13"/>
  <c r="G43" i="13"/>
  <c r="H34" i="13"/>
  <c r="G13" i="13"/>
  <c r="H35" i="13"/>
  <c r="H33" i="13"/>
  <c r="G20" i="12" s="1"/>
  <c r="I15" i="13"/>
  <c r="H32" i="13"/>
  <c r="J15" i="13"/>
  <c r="H41" i="13"/>
  <c r="H44" i="13"/>
  <c r="V8" i="13"/>
  <c r="G41" i="13"/>
  <c r="X8" i="13"/>
  <c r="L15" i="13"/>
  <c r="K15" i="13"/>
  <c r="G44" i="13"/>
  <c r="W8" i="13"/>
  <c r="M15" i="13"/>
  <c r="N15" i="13"/>
  <c r="AB8" i="13"/>
  <c r="Y8" i="13"/>
  <c r="Z8" i="13"/>
  <c r="AA8" i="13"/>
  <c r="AC8" i="13"/>
  <c r="AC14" i="20"/>
  <c r="AB80" i="9"/>
  <c r="AC13" i="20"/>
  <c r="AO15" i="20"/>
  <c r="Z15" i="20"/>
  <c r="AK11" i="9"/>
  <c r="AC11" i="9"/>
  <c r="AH15" i="20"/>
  <c r="AB13" i="20"/>
  <c r="S9" i="9"/>
  <c r="T11" i="9"/>
  <c r="AK15" i="20"/>
  <c r="V10" i="9"/>
  <c r="AE15" i="20"/>
  <c r="AR11" i="9"/>
  <c r="AN15" i="20"/>
  <c r="AQ15" i="20"/>
  <c r="AM11" i="9"/>
  <c r="U9" i="9"/>
  <c r="AF11" i="9"/>
  <c r="U13" i="20"/>
  <c r="Y10" i="9"/>
  <c r="AG15" i="20"/>
  <c r="AC10" i="9"/>
  <c r="AB11" i="9"/>
  <c r="AU15" i="20"/>
  <c r="Y15" i="20"/>
  <c r="AB15" i="20"/>
  <c r="AA15" i="20"/>
  <c r="Z9" i="9"/>
  <c r="AB9" i="9"/>
  <c r="U11" i="9"/>
  <c r="X11" i="9"/>
  <c r="AU11" i="9"/>
  <c r="Z80" i="9"/>
  <c r="R10" i="9"/>
  <c r="V11" i="9"/>
  <c r="T9" i="9"/>
  <c r="Z13" i="20"/>
  <c r="AA80" i="9"/>
  <c r="AV15" i="20"/>
  <c r="AT15" i="20"/>
  <c r="R13" i="20"/>
  <c r="BA11" i="9"/>
  <c r="Y80" i="9"/>
  <c r="AO11" i="9"/>
  <c r="Y9" i="9"/>
  <c r="AH11" i="9"/>
  <c r="T15" i="20"/>
  <c r="X14" i="20"/>
  <c r="S13" i="20"/>
  <c r="S10" i="9"/>
  <c r="Z10" i="9"/>
  <c r="R9" i="9"/>
  <c r="AB81" i="9"/>
  <c r="AP15" i="20"/>
  <c r="X10" i="9"/>
  <c r="U14" i="20"/>
  <c r="V13" i="20"/>
  <c r="X80" i="9"/>
  <c r="W15" i="20"/>
  <c r="AG11" i="9"/>
  <c r="AA11" i="9"/>
  <c r="U15" i="20"/>
  <c r="AV11" i="9"/>
  <c r="AJ15" i="20"/>
  <c r="R15" i="20"/>
  <c r="Y11" i="9"/>
  <c r="X9" i="9"/>
  <c r="Y14" i="20"/>
  <c r="T10" i="9"/>
  <c r="AW11" i="9"/>
  <c r="AD15" i="20"/>
  <c r="AR15" i="20"/>
  <c r="W10" i="9"/>
  <c r="AJ11" i="9"/>
  <c r="AZ15" i="20"/>
  <c r="AM15" i="20"/>
  <c r="AC15" i="20"/>
  <c r="AZ11" i="9"/>
  <c r="R11" i="9"/>
  <c r="AW15" i="20"/>
  <c r="AI11" i="9"/>
  <c r="AN11" i="9"/>
  <c r="W9" i="9"/>
  <c r="AA10" i="9"/>
  <c r="W14" i="20"/>
  <c r="AQ11" i="9"/>
  <c r="AB14" i="20"/>
  <c r="BA15" i="20"/>
  <c r="W11" i="9"/>
  <c r="AC80" i="9"/>
  <c r="AB10" i="9"/>
  <c r="U10" i="9"/>
  <c r="S11" i="9"/>
  <c r="AX15" i="20"/>
  <c r="AS11" i="9"/>
  <c r="V9" i="9"/>
  <c r="AP11" i="9"/>
  <c r="T14" i="20"/>
  <c r="AA13" i="20"/>
  <c r="AL15" i="20"/>
  <c r="X15" i="20"/>
  <c r="AI15" i="20"/>
  <c r="W13" i="20"/>
  <c r="S14" i="20"/>
  <c r="R14" i="20"/>
  <c r="AT11" i="9"/>
  <c r="Z14" i="20"/>
  <c r="S15" i="20"/>
  <c r="AF15" i="20"/>
  <c r="T13" i="20"/>
  <c r="AE11" i="9"/>
  <c r="X13" i="20"/>
  <c r="AA14" i="20"/>
  <c r="V14" i="20"/>
  <c r="AY15" i="20"/>
  <c r="AC9" i="9"/>
  <c r="W80" i="9"/>
  <c r="AA9" i="9"/>
  <c r="Z11" i="9"/>
  <c r="AY11" i="9"/>
  <c r="AX11" i="9"/>
  <c r="AS15" i="20"/>
  <c r="V80" i="9"/>
  <c r="AD11" i="9"/>
  <c r="AL11" i="9"/>
  <c r="V15" i="20"/>
  <c r="Y13" i="20"/>
  <c r="AA81" i="9"/>
  <c r="X81" i="9"/>
  <c r="Y81" i="9"/>
  <c r="Z81" i="9"/>
  <c r="V81" i="9"/>
  <c r="AC81" i="9"/>
  <c r="W81" i="9"/>
  <c r="V29" i="9" l="1"/>
  <c r="H13" i="16"/>
  <c r="Y29" i="9"/>
  <c r="X29" i="9"/>
  <c r="W29" i="9"/>
  <c r="N130" i="9"/>
  <c r="J130" i="9"/>
  <c r="V34" i="26"/>
  <c r="V33" i="26"/>
  <c r="V35" i="26"/>
  <c r="M130" i="9"/>
  <c r="K130" i="9"/>
  <c r="Y34" i="26"/>
  <c r="Y33" i="26"/>
  <c r="Y35" i="26"/>
  <c r="I130" i="9"/>
  <c r="W34" i="26"/>
  <c r="W33" i="26"/>
  <c r="W35" i="26"/>
  <c r="L130" i="9"/>
  <c r="X34" i="26"/>
  <c r="X33" i="26"/>
  <c r="X35" i="26"/>
  <c r="Z108" i="20"/>
  <c r="Z109" i="20"/>
  <c r="Z116" i="20"/>
  <c r="Z117" i="20"/>
  <c r="Z112" i="20"/>
  <c r="Z113" i="20"/>
  <c r="Z110" i="20"/>
  <c r="Z111" i="20"/>
  <c r="W108" i="20"/>
  <c r="W110" i="20"/>
  <c r="W116" i="20"/>
  <c r="W109" i="20"/>
  <c r="W113" i="20"/>
  <c r="W112" i="20"/>
  <c r="W117" i="20"/>
  <c r="W111" i="20"/>
  <c r="AA117" i="20"/>
  <c r="AA109" i="20"/>
  <c r="AA113" i="20"/>
  <c r="AA116" i="20"/>
  <c r="AA111" i="20"/>
  <c r="AA108" i="20"/>
  <c r="AA110" i="20"/>
  <c r="AA112" i="20"/>
  <c r="BA104" i="20"/>
  <c r="AQ104" i="20"/>
  <c r="AH104" i="20"/>
  <c r="AC111" i="20"/>
  <c r="AC108" i="20"/>
  <c r="AC110" i="20"/>
  <c r="AC109" i="20"/>
  <c r="AC116" i="20"/>
  <c r="AC113" i="20"/>
  <c r="AC112" i="20"/>
  <c r="AC117" i="20"/>
  <c r="V112" i="20"/>
  <c r="V113" i="20"/>
  <c r="V116" i="20"/>
  <c r="V110" i="20"/>
  <c r="V111" i="20"/>
  <c r="V108" i="20"/>
  <c r="V109" i="20"/>
  <c r="V117" i="20"/>
  <c r="Y110" i="20"/>
  <c r="Y113" i="20"/>
  <c r="Y111" i="20"/>
  <c r="Y117" i="20"/>
  <c r="Y109" i="20"/>
  <c r="Y108" i="20"/>
  <c r="Y116" i="20"/>
  <c r="Y112" i="20"/>
  <c r="AB113" i="20"/>
  <c r="AB112" i="20"/>
  <c r="AB111" i="20"/>
  <c r="AB110" i="20"/>
  <c r="AB109" i="20"/>
  <c r="AB108" i="20"/>
  <c r="AB116" i="20"/>
  <c r="AB117" i="20"/>
  <c r="AS104" i="20"/>
  <c r="AM104" i="20"/>
  <c r="X109" i="20"/>
  <c r="X110" i="20"/>
  <c r="X113" i="20"/>
  <c r="X116" i="20"/>
  <c r="X117" i="20"/>
  <c r="X108" i="20"/>
  <c r="X111" i="20"/>
  <c r="X112" i="20"/>
  <c r="AS75" i="3"/>
  <c r="AS76" i="3" s="1"/>
  <c r="AT64" i="3"/>
  <c r="L205" i="1"/>
  <c r="M205" i="1"/>
  <c r="H21" i="9"/>
  <c r="I24" i="22" s="1"/>
  <c r="AV84" i="13"/>
  <c r="AR84" i="13"/>
  <c r="AN84" i="13"/>
  <c r="AJ84" i="13"/>
  <c r="AH84" i="13"/>
  <c r="AD84" i="13"/>
  <c r="AY84" i="13"/>
  <c r="AW84" i="13"/>
  <c r="AS84" i="13"/>
  <c r="AO84" i="13"/>
  <c r="AL84" i="13"/>
  <c r="AK84" i="13"/>
  <c r="AI84" i="13"/>
  <c r="BA84" i="13"/>
  <c r="AT84" i="13"/>
  <c r="AM84" i="13"/>
  <c r="AG84" i="13"/>
  <c r="AZ84" i="13"/>
  <c r="AX84" i="13"/>
  <c r="AU84" i="13"/>
  <c r="AQ84" i="13"/>
  <c r="AP84" i="13"/>
  <c r="AF84" i="13"/>
  <c r="AE84" i="13"/>
  <c r="AG196" i="1"/>
  <c r="AG195" i="1" s="1"/>
  <c r="AF196" i="1"/>
  <c r="AF195" i="1" s="1"/>
  <c r="AE196" i="1"/>
  <c r="AD196" i="1"/>
  <c r="AI83" i="1"/>
  <c r="AI196" i="1"/>
  <c r="AK83" i="1"/>
  <c r="AK196" i="1"/>
  <c r="AJ83" i="1"/>
  <c r="AJ196" i="1"/>
  <c r="AH83" i="1"/>
  <c r="AH196" i="1"/>
  <c r="AG83" i="1"/>
  <c r="AF83" i="1"/>
  <c r="AE83" i="1"/>
  <c r="G172" i="1"/>
  <c r="H171" i="1"/>
  <c r="H107" i="9"/>
  <c r="AA110" i="9"/>
  <c r="AA113" i="9" s="1"/>
  <c r="AC26" i="3"/>
  <c r="H22" i="9"/>
  <c r="I25" i="22" s="1"/>
  <c r="T20" i="9"/>
  <c r="AB20" i="9"/>
  <c r="G22" i="9"/>
  <c r="G24" i="12"/>
  <c r="G57" i="12" s="1"/>
  <c r="G58" i="12" s="1"/>
  <c r="G164" i="1"/>
  <c r="H164" i="1"/>
  <c r="AB26" i="3"/>
  <c r="S6" i="12"/>
  <c r="R67" i="12"/>
  <c r="AB24" i="20"/>
  <c r="J22" i="9"/>
  <c r="K25" i="22" s="1"/>
  <c r="AC110" i="9"/>
  <c r="AC113" i="9" s="1"/>
  <c r="AC20" i="9"/>
  <c r="Y110" i="9"/>
  <c r="Y113" i="9" s="1"/>
  <c r="Y20" i="9"/>
  <c r="U20" i="9"/>
  <c r="S20" i="9"/>
  <c r="F22" i="9"/>
  <c r="H26" i="20"/>
  <c r="Y24" i="20"/>
  <c r="F164" i="1"/>
  <c r="F24" i="12"/>
  <c r="F57" i="12" s="1"/>
  <c r="W20" i="9"/>
  <c r="J86" i="22"/>
  <c r="K86" i="22"/>
  <c r="H35" i="3"/>
  <c r="I35" i="3"/>
  <c r="K35" i="3"/>
  <c r="N35" i="3"/>
  <c r="L35" i="3"/>
  <c r="G40" i="3"/>
  <c r="Y44" i="3"/>
  <c r="G44" i="3" s="1"/>
  <c r="H65" i="22" s="1"/>
  <c r="H87" i="22" s="1"/>
  <c r="H22" i="1"/>
  <c r="I62" i="22"/>
  <c r="I84" i="22" s="1"/>
  <c r="J23" i="21"/>
  <c r="AA19" i="3"/>
  <c r="AA22" i="3" s="1"/>
  <c r="AA23" i="3" s="1"/>
  <c r="H198" i="1"/>
  <c r="H197" i="1"/>
  <c r="I64" i="22"/>
  <c r="I86" i="22" s="1"/>
  <c r="H64" i="22"/>
  <c r="H86" i="22" s="1"/>
  <c r="G197" i="1"/>
  <c r="G198" i="1"/>
  <c r="AD47" i="1"/>
  <c r="AD83" i="1"/>
  <c r="I96" i="1"/>
  <c r="M35" i="3"/>
  <c r="J35" i="3"/>
  <c r="AB19" i="3"/>
  <c r="AB22" i="3" s="1"/>
  <c r="AB23" i="3" s="1"/>
  <c r="D99" i="21"/>
  <c r="E89" i="21" s="1"/>
  <c r="D58" i="21"/>
  <c r="H96" i="1"/>
  <c r="H98" i="1" s="1"/>
  <c r="G98" i="1"/>
  <c r="G17" i="3"/>
  <c r="Y19" i="3"/>
  <c r="H34" i="3"/>
  <c r="H26" i="3" s="1"/>
  <c r="I50" i="22" s="1"/>
  <c r="H46" i="22"/>
  <c r="H188" i="1"/>
  <c r="I55" i="22" s="1"/>
  <c r="I40" i="22"/>
  <c r="I43" i="22" s="1"/>
  <c r="L23" i="21"/>
  <c r="H23" i="21"/>
  <c r="F23" i="21"/>
  <c r="G171" i="1"/>
  <c r="AC19" i="3"/>
  <c r="H17" i="3"/>
  <c r="AD17" i="3"/>
  <c r="G22" i="1"/>
  <c r="H62" i="22"/>
  <c r="G188" i="1"/>
  <c r="H55" i="22" s="1"/>
  <c r="I23" i="21"/>
  <c r="G23" i="21"/>
  <c r="H172" i="1"/>
  <c r="K23" i="21"/>
  <c r="Z44" i="3"/>
  <c r="H44" i="3" s="1"/>
  <c r="I65" i="22" s="1"/>
  <c r="I87" i="22" s="1"/>
  <c r="H40" i="3"/>
  <c r="I46" i="22"/>
  <c r="Z19" i="3"/>
  <c r="Z22" i="3" s="1"/>
  <c r="Z23" i="3" s="1"/>
  <c r="G57" i="14"/>
  <c r="Z110" i="9"/>
  <c r="Z113" i="9" s="1"/>
  <c r="H25" i="20"/>
  <c r="Z24" i="20"/>
  <c r="J26" i="20"/>
  <c r="H108" i="9"/>
  <c r="Z20" i="9"/>
  <c r="X110" i="9"/>
  <c r="X113" i="9" s="1"/>
  <c r="AC24" i="20"/>
  <c r="G25" i="20"/>
  <c r="V24" i="20"/>
  <c r="S24" i="20"/>
  <c r="R20" i="9"/>
  <c r="F21" i="9"/>
  <c r="F26" i="20"/>
  <c r="T24" i="20"/>
  <c r="G26" i="20"/>
  <c r="W24" i="20"/>
  <c r="AB110" i="9"/>
  <c r="AB113" i="9" s="1"/>
  <c r="V112" i="9"/>
  <c r="V109" i="9" s="1"/>
  <c r="G109" i="9" s="1"/>
  <c r="G107" i="9"/>
  <c r="G112" i="9" s="1"/>
  <c r="F25" i="20"/>
  <c r="R24" i="20"/>
  <c r="I22" i="9"/>
  <c r="J25" i="22" s="1"/>
  <c r="X20" i="9"/>
  <c r="V20" i="9"/>
  <c r="G21" i="9"/>
  <c r="U24" i="20"/>
  <c r="X24" i="20"/>
  <c r="H36" i="16"/>
  <c r="G108" i="9"/>
  <c r="W110" i="9"/>
  <c r="W113" i="9" s="1"/>
  <c r="I26" i="20"/>
  <c r="AA24" i="20"/>
  <c r="H14" i="16"/>
  <c r="G21" i="20"/>
  <c r="X104" i="9"/>
  <c r="G101" i="9"/>
  <c r="G104" i="9" s="1"/>
  <c r="H21" i="20"/>
  <c r="F21" i="20"/>
  <c r="F17" i="9"/>
  <c r="G17" i="9"/>
  <c r="Y33" i="3"/>
  <c r="G65" i="9"/>
  <c r="G54" i="14"/>
  <c r="AB92" i="9"/>
  <c r="AB95" i="9" s="1"/>
  <c r="U12" i="9"/>
  <c r="Y92" i="9"/>
  <c r="Y95" i="9" s="1"/>
  <c r="Y16" i="20"/>
  <c r="T16" i="20"/>
  <c r="F14" i="9"/>
  <c r="H15" i="9"/>
  <c r="I18" i="22" s="1"/>
  <c r="AB16" i="20"/>
  <c r="H28" i="14"/>
  <c r="H27" i="14"/>
  <c r="H49" i="14"/>
  <c r="AA92" i="9"/>
  <c r="AA95" i="9" s="1"/>
  <c r="H91" i="9"/>
  <c r="AA12" i="9"/>
  <c r="S12" i="9"/>
  <c r="G18" i="20"/>
  <c r="W16" i="20"/>
  <c r="AA16" i="20"/>
  <c r="G19" i="20"/>
  <c r="H57" i="14"/>
  <c r="F16" i="14"/>
  <c r="X16" i="20"/>
  <c r="Y12" i="9"/>
  <c r="G90" i="9"/>
  <c r="Z16" i="20"/>
  <c r="H17" i="20"/>
  <c r="T12" i="9"/>
  <c r="H18" i="20"/>
  <c r="F15" i="9"/>
  <c r="AC16" i="20"/>
  <c r="F19" i="20"/>
  <c r="S16" i="20"/>
  <c r="H19" i="20"/>
  <c r="H54" i="14"/>
  <c r="AC12" i="9"/>
  <c r="AB12" i="9"/>
  <c r="Z12" i="9"/>
  <c r="Z92" i="9"/>
  <c r="Z95" i="9" s="1"/>
  <c r="X12" i="9"/>
  <c r="W92" i="9"/>
  <c r="W95" i="9" s="1"/>
  <c r="V92" i="9"/>
  <c r="V71" i="20" s="1"/>
  <c r="G91" i="9"/>
  <c r="F17" i="20"/>
  <c r="R16" i="20"/>
  <c r="F18" i="20"/>
  <c r="U16" i="20"/>
  <c r="H20" i="20"/>
  <c r="AC92" i="9"/>
  <c r="AC95" i="9" s="1"/>
  <c r="F16" i="9"/>
  <c r="G20" i="20"/>
  <c r="F20" i="20"/>
  <c r="G16" i="14"/>
  <c r="W12" i="9"/>
  <c r="R12" i="9"/>
  <c r="F13" i="9"/>
  <c r="V12" i="9"/>
  <c r="G13" i="9"/>
  <c r="V16" i="20"/>
  <c r="G17" i="20"/>
  <c r="H29" i="14"/>
  <c r="H26" i="14"/>
  <c r="H25" i="14"/>
  <c r="H16" i="14"/>
  <c r="G49" i="14"/>
  <c r="V20" i="25"/>
  <c r="W84" i="13"/>
  <c r="X20" i="25"/>
  <c r="Y84" i="13"/>
  <c r="AA20" i="25"/>
  <c r="AB84" i="13"/>
  <c r="W20" i="25"/>
  <c r="X84" i="13"/>
  <c r="Z20" i="25"/>
  <c r="AA84" i="13"/>
  <c r="Y20" i="25"/>
  <c r="Z84" i="13"/>
  <c r="AB20" i="25"/>
  <c r="AC84" i="13"/>
  <c r="U20" i="25"/>
  <c r="V84" i="13"/>
  <c r="AU104" i="20"/>
  <c r="AT104" i="20"/>
  <c r="AE104" i="20"/>
  <c r="AB56" i="15"/>
  <c r="AB57" i="15"/>
  <c r="AB50" i="15"/>
  <c r="AB51" i="15"/>
  <c r="AB49" i="15"/>
  <c r="AB48" i="15"/>
  <c r="AB52" i="15"/>
  <c r="AB53" i="15"/>
  <c r="X72" i="14"/>
  <c r="X65" i="14"/>
  <c r="X77" i="14"/>
  <c r="X68" i="14"/>
  <c r="X63" i="14"/>
  <c r="X69" i="14"/>
  <c r="X67" i="14"/>
  <c r="X74" i="14"/>
  <c r="X64" i="14"/>
  <c r="X73" i="14"/>
  <c r="X66" i="14"/>
  <c r="AB74" i="14"/>
  <c r="AB68" i="14"/>
  <c r="AB69" i="14"/>
  <c r="AB67" i="14"/>
  <c r="AB66" i="14"/>
  <c r="AB72" i="14"/>
  <c r="AB73" i="14"/>
  <c r="AB64" i="14"/>
  <c r="AB65" i="14"/>
  <c r="AB77" i="14"/>
  <c r="AB63" i="14"/>
  <c r="V51" i="15"/>
  <c r="V49" i="15"/>
  <c r="V50" i="15"/>
  <c r="V48" i="15"/>
  <c r="V53" i="15"/>
  <c r="V56" i="15"/>
  <c r="V52" i="15"/>
  <c r="V57" i="15"/>
  <c r="AX104" i="20"/>
  <c r="AV104" i="20"/>
  <c r="Y72" i="14"/>
  <c r="Y69" i="14"/>
  <c r="Y73" i="14"/>
  <c r="Y66" i="14"/>
  <c r="Y67" i="14"/>
  <c r="Y64" i="14"/>
  <c r="Y65" i="14"/>
  <c r="Y77" i="14"/>
  <c r="Y68" i="14"/>
  <c r="Y63" i="14"/>
  <c r="Y74" i="14"/>
  <c r="AA74" i="14"/>
  <c r="AA72" i="14"/>
  <c r="AA77" i="14"/>
  <c r="AA66" i="14"/>
  <c r="AA67" i="14"/>
  <c r="AA64" i="14"/>
  <c r="AA65" i="14"/>
  <c r="AA69" i="14"/>
  <c r="AA63" i="14"/>
  <c r="AA68" i="14"/>
  <c r="AA73" i="14"/>
  <c r="Z98" i="20"/>
  <c r="Z103" i="20"/>
  <c r="Z70" i="20"/>
  <c r="Z51" i="20"/>
  <c r="Z99" i="20"/>
  <c r="Z39" i="20"/>
  <c r="Z87" i="20"/>
  <c r="Z88" i="20"/>
  <c r="Z41" i="20"/>
  <c r="Z68" i="20"/>
  <c r="Z78" i="20"/>
  <c r="Z97" i="20"/>
  <c r="Z35" i="20"/>
  <c r="Z47" i="20"/>
  <c r="Z80" i="20"/>
  <c r="Z79" i="20"/>
  <c r="Z86" i="20"/>
  <c r="Z48" i="20"/>
  <c r="Z43" i="20"/>
  <c r="Z36" i="20"/>
  <c r="Z40" i="20"/>
  <c r="Z104" i="20"/>
  <c r="Z100" i="20"/>
  <c r="Z42" i="20"/>
  <c r="Z96" i="20"/>
  <c r="Z34" i="20"/>
  <c r="Z77" i="20"/>
  <c r="Z46" i="20"/>
  <c r="Z52" i="20"/>
  <c r="Z38" i="20"/>
  <c r="Z95" i="20"/>
  <c r="AA56" i="15"/>
  <c r="AA49" i="15"/>
  <c r="AA57" i="15"/>
  <c r="AA52" i="15"/>
  <c r="AA53" i="15"/>
  <c r="AA51" i="15"/>
  <c r="AA50" i="15"/>
  <c r="AA48" i="15"/>
  <c r="AC77" i="14"/>
  <c r="AC64" i="14"/>
  <c r="AC65" i="14"/>
  <c r="AC63" i="14"/>
  <c r="AC74" i="14"/>
  <c r="AC68" i="14"/>
  <c r="AC69" i="14"/>
  <c r="AC66" i="14"/>
  <c r="AC67" i="14"/>
  <c r="AC72" i="14"/>
  <c r="AC73" i="14"/>
  <c r="AF104" i="20"/>
  <c r="AL104" i="20"/>
  <c r="AI104" i="20"/>
  <c r="AP104" i="20"/>
  <c r="Z57" i="15"/>
  <c r="Z51" i="15"/>
  <c r="Z52" i="15"/>
  <c r="Z50" i="15"/>
  <c r="Z56" i="15"/>
  <c r="Z49" i="15"/>
  <c r="Z48" i="15"/>
  <c r="Z53" i="15"/>
  <c r="AD104" i="20"/>
  <c r="Z67" i="14"/>
  <c r="Z69" i="14"/>
  <c r="Z64" i="14"/>
  <c r="Z68" i="14"/>
  <c r="Z73" i="14"/>
  <c r="Z74" i="14"/>
  <c r="Z63" i="14"/>
  <c r="Z72" i="14"/>
  <c r="Z65" i="14"/>
  <c r="Z77" i="14"/>
  <c r="Z66" i="14"/>
  <c r="X38" i="20"/>
  <c r="X98" i="20"/>
  <c r="X46" i="20"/>
  <c r="X71" i="20"/>
  <c r="X79" i="20"/>
  <c r="X99" i="20"/>
  <c r="X35" i="20"/>
  <c r="X103" i="20"/>
  <c r="X95" i="20"/>
  <c r="X78" i="20"/>
  <c r="X86" i="20"/>
  <c r="X88" i="20"/>
  <c r="X51" i="20"/>
  <c r="X39" i="20"/>
  <c r="X48" i="20"/>
  <c r="X41" i="20"/>
  <c r="X68" i="20"/>
  <c r="X47" i="20"/>
  <c r="X42" i="20"/>
  <c r="X97" i="20"/>
  <c r="X80" i="20"/>
  <c r="X77" i="20"/>
  <c r="X34" i="20"/>
  <c r="X100" i="20"/>
  <c r="X43" i="20"/>
  <c r="X52" i="20"/>
  <c r="X104" i="20"/>
  <c r="X96" i="20"/>
  <c r="X70" i="20"/>
  <c r="X36" i="20"/>
  <c r="X40" i="20"/>
  <c r="X69" i="20"/>
  <c r="X87" i="20"/>
  <c r="I85" i="22"/>
  <c r="I83" i="22"/>
  <c r="AO104" i="20"/>
  <c r="V79" i="20"/>
  <c r="V69" i="20"/>
  <c r="V98" i="20"/>
  <c r="V104" i="20"/>
  <c r="V96" i="20"/>
  <c r="V40" i="20"/>
  <c r="V99" i="20"/>
  <c r="V51" i="20"/>
  <c r="V70" i="20"/>
  <c r="V36" i="20"/>
  <c r="V47" i="20"/>
  <c r="V48" i="20"/>
  <c r="V52" i="20"/>
  <c r="V35" i="20"/>
  <c r="V78" i="20"/>
  <c r="V68" i="20"/>
  <c r="V103" i="20"/>
  <c r="V95" i="20"/>
  <c r="V34" i="20"/>
  <c r="V87" i="20"/>
  <c r="V77" i="20"/>
  <c r="V43" i="20"/>
  <c r="V46" i="20"/>
  <c r="V41" i="20"/>
  <c r="V38" i="20"/>
  <c r="V42" i="20"/>
  <c r="V39" i="20"/>
  <c r="V80" i="20"/>
  <c r="V100" i="20"/>
  <c r="V86" i="20"/>
  <c r="V97" i="20"/>
  <c r="AR104" i="20"/>
  <c r="AW104" i="20"/>
  <c r="X50" i="15"/>
  <c r="X49" i="15"/>
  <c r="X52" i="15"/>
  <c r="X53" i="15"/>
  <c r="X51" i="15"/>
  <c r="X56" i="15"/>
  <c r="X57" i="15"/>
  <c r="X48" i="15"/>
  <c r="W38" i="20"/>
  <c r="W43" i="20"/>
  <c r="W99" i="20"/>
  <c r="W78" i="20"/>
  <c r="W79" i="20"/>
  <c r="W42" i="20"/>
  <c r="W69" i="20"/>
  <c r="W51" i="20"/>
  <c r="W70" i="20"/>
  <c r="W35" i="20"/>
  <c r="W95" i="20"/>
  <c r="W86" i="20"/>
  <c r="W68" i="20"/>
  <c r="W103" i="20"/>
  <c r="W98" i="20"/>
  <c r="W47" i="20"/>
  <c r="W39" i="20"/>
  <c r="W52" i="20"/>
  <c r="W41" i="20"/>
  <c r="W77" i="20"/>
  <c r="W80" i="20"/>
  <c r="W87" i="20"/>
  <c r="W97" i="20"/>
  <c r="W34" i="20"/>
  <c r="W89" i="20"/>
  <c r="W48" i="20"/>
  <c r="W46" i="20"/>
  <c r="W96" i="20"/>
  <c r="W40" i="20"/>
  <c r="W88" i="20"/>
  <c r="W36" i="20"/>
  <c r="W104" i="20"/>
  <c r="W100" i="20"/>
  <c r="Y51" i="20"/>
  <c r="Y40" i="20"/>
  <c r="Y100" i="20"/>
  <c r="Y97" i="20"/>
  <c r="Y43" i="20"/>
  <c r="Y79" i="20"/>
  <c r="Y80" i="20"/>
  <c r="Y68" i="20"/>
  <c r="Y96" i="20"/>
  <c r="Y35" i="20"/>
  <c r="Y98" i="20"/>
  <c r="Y89" i="20"/>
  <c r="Y88" i="20"/>
  <c r="Y103" i="20"/>
  <c r="Y41" i="20"/>
  <c r="Y95" i="20"/>
  <c r="Y52" i="20"/>
  <c r="Y87" i="20"/>
  <c r="Y42" i="20"/>
  <c r="Y104" i="20"/>
  <c r="Y86" i="20"/>
  <c r="Y77" i="20"/>
  <c r="Y34" i="20"/>
  <c r="Y38" i="20"/>
  <c r="Y48" i="20"/>
  <c r="Y69" i="20"/>
  <c r="Y78" i="20"/>
  <c r="Y70" i="20"/>
  <c r="Y47" i="20"/>
  <c r="Y36" i="20"/>
  <c r="Y39" i="20"/>
  <c r="Y46" i="20"/>
  <c r="Y99" i="20"/>
  <c r="V77" i="14"/>
  <c r="V67" i="14"/>
  <c r="V68" i="14"/>
  <c r="V66" i="14"/>
  <c r="V69" i="14"/>
  <c r="V72" i="14"/>
  <c r="V73" i="14"/>
  <c r="V63" i="14"/>
  <c r="V64" i="14"/>
  <c r="V65" i="14"/>
  <c r="V74" i="14"/>
  <c r="AA38" i="20"/>
  <c r="AA96" i="20"/>
  <c r="AA41" i="20"/>
  <c r="AA51" i="20"/>
  <c r="AA88" i="20"/>
  <c r="AA99" i="20"/>
  <c r="AA36" i="20"/>
  <c r="AA70" i="20"/>
  <c r="AA78" i="20"/>
  <c r="AA89" i="20"/>
  <c r="AA42" i="20"/>
  <c r="AA95" i="20"/>
  <c r="AA34" i="20"/>
  <c r="AA80" i="20"/>
  <c r="AA47" i="20"/>
  <c r="AA40" i="20"/>
  <c r="AA86" i="20"/>
  <c r="AA87" i="20"/>
  <c r="AA69" i="20"/>
  <c r="AA97" i="20"/>
  <c r="AA43" i="20"/>
  <c r="AA52" i="20"/>
  <c r="AA77" i="20"/>
  <c r="AA104" i="20"/>
  <c r="AA98" i="20"/>
  <c r="AA100" i="20"/>
  <c r="AA39" i="20"/>
  <c r="AA71" i="20"/>
  <c r="AA48" i="20"/>
  <c r="AA46" i="20"/>
  <c r="AA103" i="20"/>
  <c r="AA35" i="20"/>
  <c r="AA79" i="20"/>
  <c r="W50" i="15"/>
  <c r="W52" i="15"/>
  <c r="W53" i="15"/>
  <c r="W57" i="15"/>
  <c r="W56" i="15"/>
  <c r="W51" i="15"/>
  <c r="W49" i="15"/>
  <c r="W48" i="15"/>
  <c r="H85" i="22"/>
  <c r="H83" i="22"/>
  <c r="AB52" i="20"/>
  <c r="AB96" i="20"/>
  <c r="AB69" i="20"/>
  <c r="AB68" i="20"/>
  <c r="AB38" i="20"/>
  <c r="AB103" i="20"/>
  <c r="AB100" i="20"/>
  <c r="AB42" i="20"/>
  <c r="AB97" i="20"/>
  <c r="AB78" i="20"/>
  <c r="AB70" i="20"/>
  <c r="AB77" i="20"/>
  <c r="AB39" i="20"/>
  <c r="AB99" i="20"/>
  <c r="AB40" i="20"/>
  <c r="AB34" i="20"/>
  <c r="AB79" i="20"/>
  <c r="AB88" i="20"/>
  <c r="AB43" i="20"/>
  <c r="AB95" i="20"/>
  <c r="AB104" i="20"/>
  <c r="AB86" i="20"/>
  <c r="AB35" i="20"/>
  <c r="AB36" i="20"/>
  <c r="AB87" i="20"/>
  <c r="AB51" i="20"/>
  <c r="AB46" i="20"/>
  <c r="AB47" i="20"/>
  <c r="AB41" i="20"/>
  <c r="AB98" i="20"/>
  <c r="AB48" i="20"/>
  <c r="AY104" i="20"/>
  <c r="AN104" i="20"/>
  <c r="AC51" i="15"/>
  <c r="AC52" i="15"/>
  <c r="AC53" i="15"/>
  <c r="AC56" i="15"/>
  <c r="AC48" i="15"/>
  <c r="AC57" i="15"/>
  <c r="AC50" i="15"/>
  <c r="AC49" i="15"/>
  <c r="AZ104" i="20"/>
  <c r="AK104" i="20"/>
  <c r="AJ104" i="20"/>
  <c r="AG104" i="20"/>
  <c r="AC51" i="20"/>
  <c r="AC41" i="20"/>
  <c r="AC38" i="20"/>
  <c r="AC100" i="20"/>
  <c r="AC87" i="20"/>
  <c r="AC40" i="20"/>
  <c r="AC42" i="20"/>
  <c r="AC98" i="20"/>
  <c r="AC68" i="20"/>
  <c r="AC36" i="20"/>
  <c r="AC95" i="20"/>
  <c r="AC43" i="20"/>
  <c r="AC89" i="20"/>
  <c r="AC35" i="20"/>
  <c r="AC34" i="20"/>
  <c r="AC78" i="20"/>
  <c r="AC79" i="20"/>
  <c r="AC77" i="20"/>
  <c r="AC99" i="20"/>
  <c r="AC69" i="20"/>
  <c r="AC39" i="20"/>
  <c r="AC103" i="20"/>
  <c r="AC47" i="20"/>
  <c r="AC80" i="20"/>
  <c r="AC86" i="20"/>
  <c r="AC46" i="20"/>
  <c r="AC52" i="20"/>
  <c r="AC97" i="20"/>
  <c r="AC104" i="20"/>
  <c r="AC70" i="20"/>
  <c r="AC96" i="20"/>
  <c r="AC48" i="20"/>
  <c r="Y57" i="15"/>
  <c r="Y56" i="15"/>
  <c r="Y53" i="15"/>
  <c r="Y48" i="15"/>
  <c r="Y51" i="15"/>
  <c r="Y50" i="15"/>
  <c r="Y52" i="15"/>
  <c r="Y49" i="15"/>
  <c r="W72" i="14"/>
  <c r="W63" i="14"/>
  <c r="W65" i="14"/>
  <c r="W74" i="14"/>
  <c r="W67" i="14"/>
  <c r="W69" i="14"/>
  <c r="W68" i="14"/>
  <c r="W64" i="14"/>
  <c r="W66" i="14"/>
  <c r="W73" i="14"/>
  <c r="W77" i="14"/>
  <c r="G42" i="13"/>
  <c r="M23" i="13"/>
  <c r="H17" i="9"/>
  <c r="H70" i="9"/>
  <c r="H82" i="22"/>
  <c r="I82" i="22"/>
  <c r="I37" i="22"/>
  <c r="I35" i="22"/>
  <c r="G26" i="3"/>
  <c r="H50" i="22" s="1"/>
  <c r="H112" i="9"/>
  <c r="H103" i="9"/>
  <c r="I21" i="22"/>
  <c r="I23" i="13"/>
  <c r="Y12" i="20"/>
  <c r="Y31" i="20" s="1"/>
  <c r="AE8" i="13"/>
  <c r="AI8" i="13" s="1"/>
  <c r="K11" i="9"/>
  <c r="L14" i="22" s="1"/>
  <c r="H11" i="9"/>
  <c r="I14" i="22" s="1"/>
  <c r="AF8" i="13"/>
  <c r="AJ8" i="13" s="1"/>
  <c r="X12" i="20"/>
  <c r="H42" i="13"/>
  <c r="G14" i="20"/>
  <c r="K23" i="13"/>
  <c r="G45" i="13"/>
  <c r="T12" i="20"/>
  <c r="I11" i="9"/>
  <c r="J14" i="22" s="1"/>
  <c r="H45" i="13"/>
  <c r="AD8" i="13"/>
  <c r="N15" i="20"/>
  <c r="L15" i="20"/>
  <c r="J11" i="9"/>
  <c r="K14" i="22" s="1"/>
  <c r="H19" i="13"/>
  <c r="F14" i="20"/>
  <c r="W12" i="20"/>
  <c r="AC60" i="20"/>
  <c r="W59" i="20"/>
  <c r="W85" i="9"/>
  <c r="W82" i="9" s="1"/>
  <c r="W61" i="20" s="1"/>
  <c r="AB60" i="20"/>
  <c r="Y8" i="9"/>
  <c r="H13" i="20"/>
  <c r="Z12" i="20"/>
  <c r="AB8" i="9"/>
  <c r="AG8" i="13"/>
  <c r="H17" i="13"/>
  <c r="H22" i="13"/>
  <c r="AC8" i="9"/>
  <c r="K15" i="20"/>
  <c r="F9" i="9"/>
  <c r="R8" i="9"/>
  <c r="T8" i="9"/>
  <c r="Z8" i="9"/>
  <c r="H9" i="9"/>
  <c r="J15" i="20"/>
  <c r="G81" i="9"/>
  <c r="V60" i="20"/>
  <c r="Z60" i="20"/>
  <c r="H81" i="9"/>
  <c r="V59" i="20"/>
  <c r="V85" i="9"/>
  <c r="V82" i="9" s="1"/>
  <c r="V83" i="9" s="1"/>
  <c r="G80" i="9"/>
  <c r="G85" i="9" s="1"/>
  <c r="H14" i="20"/>
  <c r="AA12" i="20"/>
  <c r="W8" i="9"/>
  <c r="X8" i="9"/>
  <c r="G15" i="20"/>
  <c r="H10" i="9"/>
  <c r="Y59" i="20"/>
  <c r="Y85" i="9"/>
  <c r="Y82" i="9" s="1"/>
  <c r="Y61" i="20" s="1"/>
  <c r="G11" i="9"/>
  <c r="U12" i="20"/>
  <c r="G10" i="9"/>
  <c r="H15" i="20"/>
  <c r="P15" i="13"/>
  <c r="N23" i="13"/>
  <c r="L23" i="13"/>
  <c r="J23" i="13"/>
  <c r="G17" i="13"/>
  <c r="H23" i="13"/>
  <c r="AA59" i="20"/>
  <c r="AA85" i="9"/>
  <c r="AA82" i="9" s="1"/>
  <c r="AA61" i="20" s="1"/>
  <c r="Y60" i="20"/>
  <c r="M11" i="9"/>
  <c r="N14" i="22" s="1"/>
  <c r="AC85" i="9"/>
  <c r="AC82" i="9" s="1"/>
  <c r="AC61" i="20" s="1"/>
  <c r="AC59" i="20"/>
  <c r="X59" i="20"/>
  <c r="X85" i="9"/>
  <c r="X82" i="9" s="1"/>
  <c r="X61" i="20" s="1"/>
  <c r="F10" i="9"/>
  <c r="H20" i="13"/>
  <c r="H21" i="13"/>
  <c r="W60" i="20"/>
  <c r="X60" i="20"/>
  <c r="N11" i="9"/>
  <c r="L11" i="9"/>
  <c r="M14" i="22" s="1"/>
  <c r="F15" i="20"/>
  <c r="G13" i="20"/>
  <c r="V12" i="20"/>
  <c r="S12" i="20"/>
  <c r="F13" i="20"/>
  <c r="R12" i="20"/>
  <c r="Z59" i="20"/>
  <c r="H80" i="9"/>
  <c r="Z85" i="9"/>
  <c r="Z82" i="9" s="1"/>
  <c r="U8" i="9"/>
  <c r="AC12" i="20"/>
  <c r="F58" i="12"/>
  <c r="AA8" i="9"/>
  <c r="AA60" i="20"/>
  <c r="V8" i="9"/>
  <c r="G9" i="9"/>
  <c r="M15" i="20"/>
  <c r="S8" i="9"/>
  <c r="AB85" i="9"/>
  <c r="AB82" i="9" s="1"/>
  <c r="AB61" i="20" s="1"/>
  <c r="AB59" i="20"/>
  <c r="F11" i="9"/>
  <c r="I15" i="20"/>
  <c r="AB12" i="20"/>
  <c r="H20" i="9" l="1"/>
  <c r="R31" i="20"/>
  <c r="U31" i="20"/>
  <c r="S31" i="20"/>
  <c r="T31" i="20"/>
  <c r="V31" i="20"/>
  <c r="X31" i="20"/>
  <c r="V27" i="9"/>
  <c r="V35" i="9" s="1"/>
  <c r="X27" i="9"/>
  <c r="S27" i="9"/>
  <c r="T27" i="9"/>
  <c r="U27" i="9"/>
  <c r="W31" i="20"/>
  <c r="F29" i="9"/>
  <c r="W27" i="9"/>
  <c r="Y27" i="9"/>
  <c r="I104" i="20"/>
  <c r="I105" i="20" s="1"/>
  <c r="L104" i="20"/>
  <c r="L105" i="20" s="1"/>
  <c r="J104" i="20"/>
  <c r="J105" i="20" s="1"/>
  <c r="N104" i="20"/>
  <c r="N105" i="20" s="1"/>
  <c r="M104" i="20"/>
  <c r="M105" i="20" s="1"/>
  <c r="K104" i="20"/>
  <c r="K105" i="20" s="1"/>
  <c r="AB118" i="20"/>
  <c r="Y118" i="20"/>
  <c r="AC118" i="20"/>
  <c r="W118" i="20"/>
  <c r="X118" i="20"/>
  <c r="AA114" i="20"/>
  <c r="AA115" i="20" s="1"/>
  <c r="G109" i="20"/>
  <c r="G116" i="20"/>
  <c r="AA118" i="20"/>
  <c r="W114" i="20"/>
  <c r="W115" i="20" s="1"/>
  <c r="H112" i="20"/>
  <c r="Z114" i="20"/>
  <c r="H108" i="20"/>
  <c r="X114" i="20"/>
  <c r="X115" i="20" s="1"/>
  <c r="AB114" i="20"/>
  <c r="AB115" i="20" s="1"/>
  <c r="Y114" i="20"/>
  <c r="Y115" i="20" s="1"/>
  <c r="V114" i="20"/>
  <c r="G108" i="20"/>
  <c r="G112" i="20"/>
  <c r="Z118" i="20"/>
  <c r="H117" i="20"/>
  <c r="G111" i="20"/>
  <c r="G113" i="20"/>
  <c r="AC114" i="20"/>
  <c r="AC115" i="20" s="1"/>
  <c r="H110" i="20"/>
  <c r="H116" i="20"/>
  <c r="V118" i="20"/>
  <c r="G117" i="20"/>
  <c r="G110" i="20"/>
  <c r="H111" i="20"/>
  <c r="H113" i="20"/>
  <c r="H109" i="20"/>
  <c r="AT66" i="3"/>
  <c r="AT67" i="3" s="1"/>
  <c r="F20" i="9"/>
  <c r="R27" i="9"/>
  <c r="J196" i="1"/>
  <c r="AD195" i="1"/>
  <c r="I196" i="1"/>
  <c r="G20" i="9"/>
  <c r="AE197" i="1"/>
  <c r="AF197" i="1"/>
  <c r="J83" i="1"/>
  <c r="K41" i="22" s="1"/>
  <c r="AD197" i="1"/>
  <c r="AE195" i="1"/>
  <c r="AH195" i="1"/>
  <c r="AK195" i="1"/>
  <c r="AJ195" i="1"/>
  <c r="AI195" i="1"/>
  <c r="I83" i="1"/>
  <c r="J41" i="22" s="1"/>
  <c r="H66" i="22"/>
  <c r="H84" i="22"/>
  <c r="H88" i="22" s="1"/>
  <c r="V88" i="20"/>
  <c r="G88" i="20" s="1"/>
  <c r="V110" i="9"/>
  <c r="V89" i="20" s="1"/>
  <c r="V92" i="20" s="1"/>
  <c r="X89" i="20"/>
  <c r="X92" i="20" s="1"/>
  <c r="Z89" i="20"/>
  <c r="Z92" i="20" s="1"/>
  <c r="P15" i="20"/>
  <c r="F24" i="20"/>
  <c r="T6" i="12"/>
  <c r="S67" i="12"/>
  <c r="I66" i="22"/>
  <c r="W34" i="9"/>
  <c r="AB25" i="3"/>
  <c r="AC47" i="3"/>
  <c r="AD47" i="3" s="1"/>
  <c r="AD48" i="3" s="1"/>
  <c r="AC22" i="3"/>
  <c r="H19" i="3"/>
  <c r="G19" i="3"/>
  <c r="Y22" i="3"/>
  <c r="Y25" i="3" s="1"/>
  <c r="AA25" i="3"/>
  <c r="AE17" i="3"/>
  <c r="AD135" i="1"/>
  <c r="Z25" i="3"/>
  <c r="E31" i="21"/>
  <c r="D109" i="21"/>
  <c r="E67" i="22"/>
  <c r="AD125" i="1"/>
  <c r="AE47" i="1"/>
  <c r="AF47" i="1" s="1"/>
  <c r="AG47" i="1" s="1"/>
  <c r="AH47" i="1" s="1"/>
  <c r="V113" i="9"/>
  <c r="G24" i="20"/>
  <c r="H24" i="20"/>
  <c r="G33" i="3"/>
  <c r="Y71" i="20"/>
  <c r="Y74" i="20" s="1"/>
  <c r="W92" i="20"/>
  <c r="W71" i="20"/>
  <c r="W74" i="20" s="1"/>
  <c r="Z71" i="20"/>
  <c r="Z74" i="20" s="1"/>
  <c r="F12" i="9"/>
  <c r="F16" i="20"/>
  <c r="H16" i="20"/>
  <c r="V95" i="9"/>
  <c r="G92" i="9"/>
  <c r="G95" i="9" s="1"/>
  <c r="H12" i="9"/>
  <c r="H24" i="14"/>
  <c r="G16" i="20"/>
  <c r="AB64" i="20"/>
  <c r="Y64" i="20"/>
  <c r="X64" i="20"/>
  <c r="H74" i="14"/>
  <c r="AB82" i="20"/>
  <c r="X105" i="20"/>
  <c r="W105" i="20"/>
  <c r="AC64" i="20"/>
  <c r="AA105" i="20"/>
  <c r="H65" i="14"/>
  <c r="H73" i="14"/>
  <c r="AC53" i="20"/>
  <c r="Y37" i="20"/>
  <c r="Y82" i="20"/>
  <c r="AA91" i="20"/>
  <c r="Y91" i="20"/>
  <c r="AA64" i="20"/>
  <c r="Y105" i="20"/>
  <c r="W83" i="20"/>
  <c r="X83" i="20"/>
  <c r="AA74" i="20"/>
  <c r="H72" i="14"/>
  <c r="AA92" i="20"/>
  <c r="AB53" i="20"/>
  <c r="H68" i="14"/>
  <c r="X33" i="20"/>
  <c r="H64" i="14"/>
  <c r="AC91" i="20"/>
  <c r="AC73" i="20"/>
  <c r="G87" i="20"/>
  <c r="G96" i="20"/>
  <c r="H42" i="20"/>
  <c r="H41" i="20"/>
  <c r="H103" i="20"/>
  <c r="G51" i="15"/>
  <c r="G48" i="20"/>
  <c r="G69" i="14"/>
  <c r="Y83" i="20"/>
  <c r="W33" i="20"/>
  <c r="AA37" i="20"/>
  <c r="G66" i="14"/>
  <c r="AC101" i="20"/>
  <c r="AC102" i="20" s="1"/>
  <c r="AC37" i="20"/>
  <c r="AC82" i="20"/>
  <c r="AA82" i="20"/>
  <c r="Y92" i="20"/>
  <c r="G100" i="20"/>
  <c r="X12" i="15"/>
  <c r="X47" i="15"/>
  <c r="G42" i="20"/>
  <c r="V33" i="20"/>
  <c r="G34" i="20"/>
  <c r="G104" i="20"/>
  <c r="V105" i="20"/>
  <c r="H52" i="15"/>
  <c r="AA12" i="15"/>
  <c r="AA47" i="15"/>
  <c r="Z101" i="20"/>
  <c r="H95" i="20"/>
  <c r="H79" i="20"/>
  <c r="H98" i="20"/>
  <c r="G57" i="15"/>
  <c r="AB62" i="14"/>
  <c r="AB70" i="14" s="1"/>
  <c r="AB12" i="14"/>
  <c r="AB47" i="15"/>
  <c r="AB12" i="15"/>
  <c r="V56" i="20"/>
  <c r="V53" i="20"/>
  <c r="Y55" i="20"/>
  <c r="G52" i="20"/>
  <c r="W62" i="14"/>
  <c r="W70" i="14" s="1"/>
  <c r="W12" i="14"/>
  <c r="AB33" i="20"/>
  <c r="G74" i="14"/>
  <c r="G68" i="14"/>
  <c r="V37" i="20"/>
  <c r="G38" i="20"/>
  <c r="V101" i="20"/>
  <c r="G95" i="20"/>
  <c r="G47" i="20"/>
  <c r="G98" i="20"/>
  <c r="X74" i="20"/>
  <c r="Z62" i="14"/>
  <c r="H63" i="14"/>
  <c r="Z12" i="14"/>
  <c r="H51" i="15"/>
  <c r="Z37" i="20"/>
  <c r="H38" i="20"/>
  <c r="H100" i="20"/>
  <c r="Z83" i="20"/>
  <c r="G52" i="15"/>
  <c r="X12" i="14"/>
  <c r="X62" i="14"/>
  <c r="X70" i="14" s="1"/>
  <c r="G39" i="20"/>
  <c r="W12" i="15"/>
  <c r="W47" i="15"/>
  <c r="AC83" i="20"/>
  <c r="G65" i="14"/>
  <c r="G67" i="14"/>
  <c r="G97" i="20"/>
  <c r="G41" i="20"/>
  <c r="G103" i="20"/>
  <c r="G36" i="20"/>
  <c r="G69" i="20"/>
  <c r="X53" i="20"/>
  <c r="AA55" i="20"/>
  <c r="X56" i="20"/>
  <c r="X91" i="20"/>
  <c r="Z53" i="20"/>
  <c r="H52" i="20"/>
  <c r="Z56" i="20"/>
  <c r="AC55" i="20"/>
  <c r="Z105" i="20"/>
  <c r="H104" i="20"/>
  <c r="H47" i="20"/>
  <c r="H87" i="20"/>
  <c r="G56" i="15"/>
  <c r="H67" i="14"/>
  <c r="AC33" i="20"/>
  <c r="AB91" i="20"/>
  <c r="AA53" i="20"/>
  <c r="AA83" i="20"/>
  <c r="G64" i="14"/>
  <c r="G77" i="14"/>
  <c r="W73" i="20"/>
  <c r="G46" i="20"/>
  <c r="V73" i="20"/>
  <c r="G68" i="20"/>
  <c r="G70" i="20"/>
  <c r="G79" i="20"/>
  <c r="X73" i="20"/>
  <c r="H53" i="15"/>
  <c r="H46" i="20"/>
  <c r="H40" i="20"/>
  <c r="H35" i="20"/>
  <c r="H39" i="20"/>
  <c r="AA12" i="14"/>
  <c r="AA62" i="14"/>
  <c r="AA70" i="14" s="1"/>
  <c r="G53" i="15"/>
  <c r="W64" i="20"/>
  <c r="I88" i="22"/>
  <c r="AB105" i="20"/>
  <c r="AB37" i="20"/>
  <c r="AA33" i="20"/>
  <c r="V12" i="14"/>
  <c r="G63" i="14"/>
  <c r="V62" i="14"/>
  <c r="W82" i="20"/>
  <c r="W91" i="20"/>
  <c r="V91" i="20"/>
  <c r="G86" i="20"/>
  <c r="G43" i="20"/>
  <c r="V74" i="20"/>
  <c r="G51" i="20"/>
  <c r="X101" i="20"/>
  <c r="X102" i="20" s="1"/>
  <c r="X37" i="20"/>
  <c r="Z47" i="15"/>
  <c r="Z12" i="15"/>
  <c r="H48" i="15"/>
  <c r="AC62" i="14"/>
  <c r="AC70" i="14" s="1"/>
  <c r="AC12" i="14"/>
  <c r="Z82" i="20"/>
  <c r="H77" i="20"/>
  <c r="H36" i="20"/>
  <c r="H97" i="20"/>
  <c r="H99" i="20"/>
  <c r="V12" i="15"/>
  <c r="V47" i="15"/>
  <c r="G48" i="15"/>
  <c r="H57" i="15"/>
  <c r="AC105" i="20"/>
  <c r="AC92" i="20"/>
  <c r="AB101" i="20"/>
  <c r="AB102" i="20" s="1"/>
  <c r="AB73" i="20"/>
  <c r="AA101" i="20"/>
  <c r="AA102" i="20" s="1"/>
  <c r="G73" i="14"/>
  <c r="Y53" i="20"/>
  <c r="Y56" i="20"/>
  <c r="AB55" i="20"/>
  <c r="W101" i="20"/>
  <c r="W102" i="20" s="1"/>
  <c r="G77" i="20"/>
  <c r="V82" i="20"/>
  <c r="G78" i="20"/>
  <c r="G99" i="20"/>
  <c r="H66" i="14"/>
  <c r="H49" i="15"/>
  <c r="Z33" i="20"/>
  <c r="H34" i="20"/>
  <c r="H43" i="20"/>
  <c r="H78" i="20"/>
  <c r="H51" i="20"/>
  <c r="Y62" i="14"/>
  <c r="Y70" i="14" s="1"/>
  <c r="Y12" i="14"/>
  <c r="G50" i="15"/>
  <c r="W37" i="20"/>
  <c r="H50" i="15"/>
  <c r="H86" i="20"/>
  <c r="Z91" i="20"/>
  <c r="Y12" i="15"/>
  <c r="Y47" i="15"/>
  <c r="AC47" i="15"/>
  <c r="AC12" i="15"/>
  <c r="G72" i="14"/>
  <c r="Y33" i="20"/>
  <c r="Y101" i="20"/>
  <c r="Y102" i="20" s="1"/>
  <c r="Y73" i="20"/>
  <c r="W56" i="20"/>
  <c r="W53" i="20"/>
  <c r="Z55" i="20"/>
  <c r="G80" i="20"/>
  <c r="V83" i="20"/>
  <c r="G35" i="20"/>
  <c r="G40" i="20"/>
  <c r="X82" i="20"/>
  <c r="H77" i="14"/>
  <c r="H69" i="14"/>
  <c r="H56" i="15"/>
  <c r="H96" i="20"/>
  <c r="H48" i="20"/>
  <c r="Z73" i="20"/>
  <c r="H70" i="20"/>
  <c r="G49" i="15"/>
  <c r="I23" i="22"/>
  <c r="H13" i="9"/>
  <c r="H30" i="9" s="1"/>
  <c r="I20" i="22"/>
  <c r="AI51" i="13"/>
  <c r="AJ51" i="13"/>
  <c r="AH8" i="13"/>
  <c r="AL8" i="13" s="1"/>
  <c r="X83" i="9"/>
  <c r="X62" i="20" s="1"/>
  <c r="X65" i="20" s="1"/>
  <c r="W83" i="9"/>
  <c r="W86" i="9" s="1"/>
  <c r="Y83" i="9"/>
  <c r="Y62" i="20" s="1"/>
  <c r="Y65" i="20" s="1"/>
  <c r="H60" i="20"/>
  <c r="AA83" i="9"/>
  <c r="AA62" i="20" s="1"/>
  <c r="AA65" i="20" s="1"/>
  <c r="V86" i="9"/>
  <c r="V62" i="20"/>
  <c r="AM8" i="13"/>
  <c r="Z61" i="20"/>
  <c r="H61" i="20" s="1"/>
  <c r="H82" i="9"/>
  <c r="W32" i="9"/>
  <c r="W37" i="9" s="1"/>
  <c r="Z83" i="9"/>
  <c r="AC83" i="9"/>
  <c r="AN8" i="13"/>
  <c r="H12" i="20"/>
  <c r="G60" i="20"/>
  <c r="I12" i="22"/>
  <c r="H85" i="9"/>
  <c r="G8" i="9"/>
  <c r="Z64" i="20"/>
  <c r="H59" i="20"/>
  <c r="O14" i="22"/>
  <c r="P11" i="9"/>
  <c r="H8" i="9"/>
  <c r="F12" i="20"/>
  <c r="H41" i="18"/>
  <c r="H42" i="18" s="1"/>
  <c r="H48" i="18" s="1"/>
  <c r="I13" i="22"/>
  <c r="V61" i="20"/>
  <c r="G61" i="20" s="1"/>
  <c r="G82" i="9"/>
  <c r="F8" i="9"/>
  <c r="AK8" i="13"/>
  <c r="AB83" i="9"/>
  <c r="G59" i="20"/>
  <c r="V64" i="20"/>
  <c r="G12" i="20"/>
  <c r="H118" i="20" l="1"/>
  <c r="G118" i="20"/>
  <c r="V115" i="20"/>
  <c r="G114" i="20"/>
  <c r="G115" i="20" s="1"/>
  <c r="Z115" i="20"/>
  <c r="H114" i="20"/>
  <c r="H115" i="20" s="1"/>
  <c r="AT75" i="3"/>
  <c r="AT76" i="3" s="1"/>
  <c r="AU64" i="3"/>
  <c r="G110" i="9"/>
  <c r="G113" i="9" s="1"/>
  <c r="W25" i="25"/>
  <c r="W27" i="25" s="1"/>
  <c r="X114" i="14" s="1"/>
  <c r="X115" i="14" s="1"/>
  <c r="X36" i="9"/>
  <c r="V34" i="9"/>
  <c r="X32" i="9"/>
  <c r="X37" i="9" s="1"/>
  <c r="X25" i="25"/>
  <c r="X27" i="25" s="1"/>
  <c r="Y114" i="14" s="1"/>
  <c r="Y115" i="14" s="1"/>
  <c r="Y36" i="9"/>
  <c r="X34" i="9"/>
  <c r="Y34" i="9"/>
  <c r="Y35" i="9"/>
  <c r="X35" i="9"/>
  <c r="U25" i="25"/>
  <c r="U27" i="25" s="1"/>
  <c r="V114" i="14" s="1"/>
  <c r="V115" i="14" s="1"/>
  <c r="V36" i="9"/>
  <c r="V25" i="25"/>
  <c r="V27" i="25" s="1"/>
  <c r="W36" i="9"/>
  <c r="W35" i="9"/>
  <c r="F55" i="12"/>
  <c r="F64" i="12" s="1"/>
  <c r="F69" i="12" s="1"/>
  <c r="AC31" i="26"/>
  <c r="AB31" i="26"/>
  <c r="Y31" i="26"/>
  <c r="AA31" i="26"/>
  <c r="Z31" i="26"/>
  <c r="X31" i="26"/>
  <c r="W31" i="26"/>
  <c r="V31" i="26"/>
  <c r="W62" i="20"/>
  <c r="W65" i="20" s="1"/>
  <c r="Y32" i="9"/>
  <c r="Y37" i="9" s="1"/>
  <c r="G31" i="20"/>
  <c r="H67" i="22"/>
  <c r="G89" i="20"/>
  <c r="G92" i="20" s="1"/>
  <c r="F27" i="9"/>
  <c r="F34" i="9" s="1"/>
  <c r="F31" i="20"/>
  <c r="U6" i="12"/>
  <c r="T67" i="12"/>
  <c r="I47" i="1"/>
  <c r="I67" i="22"/>
  <c r="AI47" i="1"/>
  <c r="AJ47" i="1" s="1"/>
  <c r="AK47" i="1" s="1"/>
  <c r="AD128" i="1"/>
  <c r="AE125" i="1"/>
  <c r="W109" i="21"/>
  <c r="N109" i="21"/>
  <c r="I109" i="21"/>
  <c r="AB109" i="21"/>
  <c r="O109" i="21"/>
  <c r="F109" i="21"/>
  <c r="X109" i="21"/>
  <c r="J109" i="21"/>
  <c r="K109" i="21"/>
  <c r="T109" i="21"/>
  <c r="G109" i="21"/>
  <c r="Y109" i="21"/>
  <c r="P109" i="21"/>
  <c r="Z109" i="21"/>
  <c r="U109" i="21"/>
  <c r="L109" i="21"/>
  <c r="V109" i="21"/>
  <c r="Q109" i="21"/>
  <c r="H109" i="21"/>
  <c r="AA109" i="21"/>
  <c r="R109" i="21"/>
  <c r="M109" i="21"/>
  <c r="S109" i="21"/>
  <c r="G22" i="3"/>
  <c r="Y23" i="3"/>
  <c r="H22" i="3"/>
  <c r="AC23" i="3"/>
  <c r="AF17" i="3"/>
  <c r="AE135" i="1"/>
  <c r="AE47" i="3"/>
  <c r="AE48" i="3" s="1"/>
  <c r="G55" i="12"/>
  <c r="AC54" i="15"/>
  <c r="AC58" i="15" s="1"/>
  <c r="AB54" i="15"/>
  <c r="AB55" i="15" s="1"/>
  <c r="Y54" i="15"/>
  <c r="Y58" i="15" s="1"/>
  <c r="AA54" i="15"/>
  <c r="AA55" i="15" s="1"/>
  <c r="X54" i="15"/>
  <c r="X58" i="15" s="1"/>
  <c r="Z54" i="15"/>
  <c r="Z55" i="15" s="1"/>
  <c r="W54" i="15"/>
  <c r="W58" i="15" s="1"/>
  <c r="G71" i="20"/>
  <c r="G74" i="20" s="1"/>
  <c r="I15" i="22"/>
  <c r="G83" i="9"/>
  <c r="G86" i="9" s="1"/>
  <c r="X86" i="9"/>
  <c r="Y44" i="20"/>
  <c r="Y45" i="20" s="1"/>
  <c r="X44" i="20"/>
  <c r="X45" i="20" s="1"/>
  <c r="AA44" i="20"/>
  <c r="AA45" i="20" s="1"/>
  <c r="AC44" i="20"/>
  <c r="AC45" i="20" s="1"/>
  <c r="V44" i="20"/>
  <c r="V49" i="20" s="1"/>
  <c r="W44" i="20"/>
  <c r="W49" i="20" s="1"/>
  <c r="W50" i="20" s="1"/>
  <c r="H33" i="20"/>
  <c r="AE12" i="14"/>
  <c r="AB44" i="20"/>
  <c r="AB45" i="20" s="1"/>
  <c r="G47" i="15"/>
  <c r="H64" i="20"/>
  <c r="H91" i="20"/>
  <c r="AD12" i="14"/>
  <c r="Y75" i="14"/>
  <c r="Y71" i="14"/>
  <c r="AG12" i="14"/>
  <c r="G73" i="20"/>
  <c r="H105" i="20"/>
  <c r="G37" i="20"/>
  <c r="H101" i="20"/>
  <c r="H102" i="20" s="1"/>
  <c r="Z102" i="20"/>
  <c r="G105" i="20"/>
  <c r="AA71" i="14"/>
  <c r="AA75" i="14"/>
  <c r="X71" i="14"/>
  <c r="X75" i="14"/>
  <c r="H37" i="20"/>
  <c r="AF12" i="14"/>
  <c r="G33" i="20"/>
  <c r="AC71" i="14"/>
  <c r="AC75" i="14"/>
  <c r="G83" i="20"/>
  <c r="W75" i="14"/>
  <c r="W71" i="14"/>
  <c r="AB75" i="14"/>
  <c r="AB71" i="14"/>
  <c r="V70" i="14"/>
  <c r="G62" i="14"/>
  <c r="G55" i="20"/>
  <c r="G53" i="20"/>
  <c r="H55" i="20"/>
  <c r="G56" i="20" s="1"/>
  <c r="H53" i="20"/>
  <c r="Z70" i="14"/>
  <c r="H62" i="14"/>
  <c r="G64" i="20"/>
  <c r="Z44" i="20"/>
  <c r="V54" i="15"/>
  <c r="H82" i="20"/>
  <c r="G91" i="20"/>
  <c r="G82" i="20"/>
  <c r="H47" i="15"/>
  <c r="G101" i="20"/>
  <c r="G102" i="20" s="1"/>
  <c r="V102" i="20"/>
  <c r="I16" i="22"/>
  <c r="G14" i="9"/>
  <c r="H14" i="9"/>
  <c r="G16" i="9"/>
  <c r="H16" i="9"/>
  <c r="I19" i="22" s="1"/>
  <c r="Y86" i="9"/>
  <c r="AK51" i="13"/>
  <c r="AN51" i="13"/>
  <c r="AH51" i="13"/>
  <c r="AL51" i="13"/>
  <c r="AM51" i="13"/>
  <c r="AA86" i="9"/>
  <c r="I48" i="18"/>
  <c r="H46" i="18"/>
  <c r="H49" i="18" s="1"/>
  <c r="H13" i="26" s="1"/>
  <c r="AB86" i="9"/>
  <c r="AB62" i="20"/>
  <c r="AB65" i="20" s="1"/>
  <c r="I11" i="22"/>
  <c r="AR8" i="13"/>
  <c r="V65" i="20"/>
  <c r="AP8" i="13"/>
  <c r="V32" i="9"/>
  <c r="V37" i="9" s="1"/>
  <c r="G27" i="9"/>
  <c r="AC62" i="20"/>
  <c r="AC65" i="20" s="1"/>
  <c r="AC86" i="9"/>
  <c r="AO8" i="13"/>
  <c r="Z86" i="9"/>
  <c r="Z62" i="20"/>
  <c r="H83" i="9"/>
  <c r="AQ8" i="13"/>
  <c r="F36" i="9" l="1"/>
  <c r="AU66" i="3"/>
  <c r="AU67" i="3" s="1"/>
  <c r="Y85" i="13"/>
  <c r="Y86" i="13" s="1"/>
  <c r="Y87" i="13" s="1"/>
  <c r="Y89" i="13" s="1"/>
  <c r="W114" i="14"/>
  <c r="W115" i="14" s="1"/>
  <c r="W85" i="13"/>
  <c r="W86" i="13" s="1"/>
  <c r="W87" i="13" s="1"/>
  <c r="W89" i="13" s="1"/>
  <c r="X85" i="13"/>
  <c r="X86" i="13" s="1"/>
  <c r="X87" i="13" s="1"/>
  <c r="X89" i="13" s="1"/>
  <c r="V85" i="13"/>
  <c r="V86" i="13" s="1"/>
  <c r="V87" i="13" s="1"/>
  <c r="V89" i="13" s="1"/>
  <c r="Z13" i="26"/>
  <c r="AB13" i="26"/>
  <c r="AC13" i="26"/>
  <c r="AA13" i="26"/>
  <c r="F46" i="12"/>
  <c r="G62" i="20"/>
  <c r="G65" i="20" s="1"/>
  <c r="V6" i="12"/>
  <c r="U67" i="12"/>
  <c r="G64" i="12"/>
  <c r="G69" i="12" s="1"/>
  <c r="J47" i="1"/>
  <c r="H47" i="22"/>
  <c r="G23" i="3"/>
  <c r="H48" i="22" s="1"/>
  <c r="AF47" i="3"/>
  <c r="AF48" i="3" s="1"/>
  <c r="AF125" i="1"/>
  <c r="AE128" i="1"/>
  <c r="AG17" i="3"/>
  <c r="AF135" i="1"/>
  <c r="I47" i="22"/>
  <c r="H23" i="3"/>
  <c r="I48" i="22" s="1"/>
  <c r="G25" i="3"/>
  <c r="AA58" i="15"/>
  <c r="AA73" i="15" s="1"/>
  <c r="AA71" i="15" s="1"/>
  <c r="AE71" i="15" s="1"/>
  <c r="G46" i="12"/>
  <c r="AC59" i="15"/>
  <c r="AC73" i="15"/>
  <c r="W59" i="15"/>
  <c r="W73" i="15"/>
  <c r="W71" i="15" s="1"/>
  <c r="W72" i="15" s="1"/>
  <c r="X59" i="15"/>
  <c r="X73" i="15"/>
  <c r="X71" i="15" s="1"/>
  <c r="X72" i="15" s="1"/>
  <c r="AC55" i="15"/>
  <c r="Y59" i="15"/>
  <c r="Y73" i="15"/>
  <c r="Y71" i="15" s="1"/>
  <c r="Y72" i="15" s="1"/>
  <c r="Z58" i="15"/>
  <c r="Z73" i="15" s="1"/>
  <c r="Z71" i="15" s="1"/>
  <c r="Y55" i="15"/>
  <c r="W55" i="15"/>
  <c r="X55" i="15"/>
  <c r="AK12" i="15"/>
  <c r="AO12" i="15" s="1"/>
  <c r="AJ12" i="15"/>
  <c r="AN12" i="15" s="1"/>
  <c r="H54" i="15"/>
  <c r="H55" i="15" s="1"/>
  <c r="AB58" i="15"/>
  <c r="AH12" i="14"/>
  <c r="AC49" i="20"/>
  <c r="AC50" i="20" s="1"/>
  <c r="Y49" i="20"/>
  <c r="Y50" i="20" s="1"/>
  <c r="X49" i="20"/>
  <c r="X50" i="20" s="1"/>
  <c r="V45" i="20"/>
  <c r="W45" i="20"/>
  <c r="AB49" i="20"/>
  <c r="AB50" i="20" s="1"/>
  <c r="AA49" i="20"/>
  <c r="AA50" i="20" s="1"/>
  <c r="AI12" i="14"/>
  <c r="G44" i="20"/>
  <c r="G45" i="20" s="1"/>
  <c r="AH12" i="15"/>
  <c r="G70" i="14"/>
  <c r="G71" i="14" s="1"/>
  <c r="V75" i="14"/>
  <c r="V71" i="14"/>
  <c r="W76" i="14"/>
  <c r="W78" i="14"/>
  <c r="AK12" i="14"/>
  <c r="Z75" i="14"/>
  <c r="Z71" i="14"/>
  <c r="H70" i="14"/>
  <c r="H71" i="14" s="1"/>
  <c r="AI12" i="15"/>
  <c r="AJ12" i="14"/>
  <c r="Y78" i="14"/>
  <c r="Y76" i="14"/>
  <c r="V55" i="15"/>
  <c r="V58" i="15"/>
  <c r="V73" i="15" s="1"/>
  <c r="V71" i="15" s="1"/>
  <c r="V72" i="15" s="1"/>
  <c r="G54" i="15"/>
  <c r="G55" i="15" s="1"/>
  <c r="X76" i="14"/>
  <c r="X78" i="14"/>
  <c r="V50" i="20"/>
  <c r="Z45" i="20"/>
  <c r="H44" i="20"/>
  <c r="H45" i="20" s="1"/>
  <c r="Z49" i="20"/>
  <c r="AC76" i="14"/>
  <c r="AC78" i="14"/>
  <c r="AB78" i="14"/>
  <c r="AB76" i="14"/>
  <c r="AA78" i="14"/>
  <c r="AA76" i="14"/>
  <c r="I17" i="22"/>
  <c r="G12" i="9"/>
  <c r="AP51" i="13"/>
  <c r="AQ51" i="13"/>
  <c r="AO51" i="13"/>
  <c r="AR51" i="13"/>
  <c r="AT8" i="13"/>
  <c r="AV8" i="13"/>
  <c r="I46" i="18"/>
  <c r="I47" i="18" s="1"/>
  <c r="J48" i="18"/>
  <c r="Z65" i="20"/>
  <c r="H62" i="20"/>
  <c r="H65" i="20" s="1"/>
  <c r="AU8" i="13"/>
  <c r="AS8" i="13"/>
  <c r="G36" i="9"/>
  <c r="H86" i="9"/>
  <c r="AB24" i="9" l="1"/>
  <c r="AB23" i="9" s="1"/>
  <c r="AB27" i="9" s="1"/>
  <c r="AA25" i="25" s="1"/>
  <c r="AA27" i="25" s="1"/>
  <c r="AB28" i="20"/>
  <c r="Z24" i="9"/>
  <c r="Z29" i="9" s="1"/>
  <c r="Z28" i="20"/>
  <c r="AA24" i="9"/>
  <c r="AA23" i="9" s="1"/>
  <c r="AA27" i="9" s="1"/>
  <c r="AA35" i="9" s="1"/>
  <c r="AA28" i="20"/>
  <c r="AC24" i="9"/>
  <c r="AC29" i="9" s="1"/>
  <c r="AC28" i="20"/>
  <c r="AU75" i="3"/>
  <c r="AU76" i="3" s="1"/>
  <c r="AV64" i="3"/>
  <c r="AC30" i="26"/>
  <c r="AC15" i="26"/>
  <c r="AA30" i="26"/>
  <c r="AA15" i="26"/>
  <c r="AB30" i="26"/>
  <c r="AB15" i="26"/>
  <c r="Z30" i="26"/>
  <c r="Z15" i="26"/>
  <c r="AL12" i="14"/>
  <c r="AP12" i="14" s="1"/>
  <c r="AI71" i="15"/>
  <c r="AM71" i="15" s="1"/>
  <c r="AQ71" i="15" s="1"/>
  <c r="AU71" i="15" s="1"/>
  <c r="AY71" i="15" s="1"/>
  <c r="W6" i="12"/>
  <c r="V67" i="12"/>
  <c r="AA59" i="15"/>
  <c r="I17" i="3"/>
  <c r="AH17" i="3"/>
  <c r="AG135" i="1"/>
  <c r="I135" i="1" s="1"/>
  <c r="AG125" i="1"/>
  <c r="AF128" i="1"/>
  <c r="AG47" i="3"/>
  <c r="AG48" i="3" s="1"/>
  <c r="Z59" i="15"/>
  <c r="Z72" i="15"/>
  <c r="AD71" i="15"/>
  <c r="AA72" i="15"/>
  <c r="AB59" i="15"/>
  <c r="AB73" i="15"/>
  <c r="AC71" i="15"/>
  <c r="AG71" i="15" s="1"/>
  <c r="H58" i="15"/>
  <c r="H59" i="15" s="1"/>
  <c r="AA79" i="14"/>
  <c r="AA110" i="14"/>
  <c r="AA108" i="14" s="1"/>
  <c r="AE108" i="14" s="1"/>
  <c r="X79" i="14"/>
  <c r="X110" i="14"/>
  <c r="X108" i="14" s="1"/>
  <c r="X109" i="14" s="1"/>
  <c r="X116" i="14" s="1"/>
  <c r="X118" i="14" s="1"/>
  <c r="AC79" i="14"/>
  <c r="AC110" i="14"/>
  <c r="AC108" i="14" s="1"/>
  <c r="AG108" i="14" s="1"/>
  <c r="AB79" i="14"/>
  <c r="AB110" i="14"/>
  <c r="AB108" i="14" s="1"/>
  <c r="AF108" i="14" s="1"/>
  <c r="Y79" i="14"/>
  <c r="Y110" i="14"/>
  <c r="Y108" i="14" s="1"/>
  <c r="Y109" i="14" s="1"/>
  <c r="Y116" i="14" s="1"/>
  <c r="Y118" i="14" s="1"/>
  <c r="W79" i="14"/>
  <c r="W110" i="14"/>
  <c r="W108" i="14" s="1"/>
  <c r="W109" i="14" s="1"/>
  <c r="W116" i="14" s="1"/>
  <c r="W118" i="14" s="1"/>
  <c r="AK90" i="14"/>
  <c r="AJ90" i="14"/>
  <c r="AM12" i="14"/>
  <c r="AI90" i="14"/>
  <c r="AH90" i="14"/>
  <c r="G49" i="20"/>
  <c r="G50" i="20" s="1"/>
  <c r="H75" i="14"/>
  <c r="H76" i="14" s="1"/>
  <c r="Z76" i="14"/>
  <c r="Z78" i="14"/>
  <c r="Z110" i="14" s="1"/>
  <c r="V76" i="14"/>
  <c r="V78" i="14"/>
  <c r="V110" i="14" s="1"/>
  <c r="G75" i="14"/>
  <c r="G76" i="14" s="1"/>
  <c r="Z50" i="20"/>
  <c r="H49" i="20"/>
  <c r="H50" i="20" s="1"/>
  <c r="AR12" i="15"/>
  <c r="AS12" i="15"/>
  <c r="AL12" i="15"/>
  <c r="AN12" i="14"/>
  <c r="AO12" i="14"/>
  <c r="AM12" i="15"/>
  <c r="V59" i="15"/>
  <c r="G58" i="15"/>
  <c r="G59" i="15" s="1"/>
  <c r="AU51" i="13"/>
  <c r="AS51" i="13"/>
  <c r="AV51" i="13"/>
  <c r="AT51" i="13"/>
  <c r="AW8" i="13"/>
  <c r="AZ8" i="13"/>
  <c r="AX8" i="13"/>
  <c r="AY8" i="13"/>
  <c r="J46" i="18"/>
  <c r="J47" i="18" s="1"/>
  <c r="K48" i="18"/>
  <c r="F15" i="8"/>
  <c r="I15" i="8"/>
  <c r="H15" i="8"/>
  <c r="G15" i="8"/>
  <c r="AB29" i="9" l="1"/>
  <c r="AB32" i="9" s="1"/>
  <c r="AB37" i="9" s="1"/>
  <c r="Z23" i="9"/>
  <c r="Z27" i="9" s="1"/>
  <c r="H24" i="9"/>
  <c r="I27" i="22" s="1"/>
  <c r="AC23" i="9"/>
  <c r="AC27" i="9" s="1"/>
  <c r="AB25" i="25" s="1"/>
  <c r="AB27" i="25" s="1"/>
  <c r="AC114" i="14" s="1"/>
  <c r="AC115" i="14" s="1"/>
  <c r="AA29" i="9"/>
  <c r="AA32" i="9" s="1"/>
  <c r="AA37" i="9" s="1"/>
  <c r="AV66" i="3"/>
  <c r="AV67" i="3" s="1"/>
  <c r="AB35" i="9"/>
  <c r="AA36" i="9"/>
  <c r="Z25" i="25"/>
  <c r="Z27" i="25" s="1"/>
  <c r="AA114" i="14" s="1"/>
  <c r="AA115" i="14" s="1"/>
  <c r="AB36" i="9"/>
  <c r="AB114" i="14"/>
  <c r="AB115" i="14" s="1"/>
  <c r="AB85" i="13"/>
  <c r="AB86" i="13" s="1"/>
  <c r="AB87" i="13" s="1"/>
  <c r="AB89" i="13" s="1"/>
  <c r="AE27" i="25"/>
  <c r="AB17" i="26"/>
  <c r="AB27" i="20" s="1"/>
  <c r="AB31" i="20" s="1"/>
  <c r="AB33" i="26"/>
  <c r="AC17" i="26"/>
  <c r="AC27" i="20" s="1"/>
  <c r="AC31" i="20" s="1"/>
  <c r="AC33" i="26"/>
  <c r="Z17" i="26"/>
  <c r="Z33" i="26"/>
  <c r="AA17" i="26"/>
  <c r="AA27" i="20" s="1"/>
  <c r="AA31" i="20" s="1"/>
  <c r="AA33" i="26"/>
  <c r="AL90" i="14"/>
  <c r="AQ12" i="14"/>
  <c r="AU12" i="14" s="1"/>
  <c r="AK71" i="15"/>
  <c r="AO71" i="15" s="1"/>
  <c r="AS71" i="15" s="1"/>
  <c r="AW71" i="15" s="1"/>
  <c r="BA71" i="15" s="1"/>
  <c r="AH71" i="15"/>
  <c r="AL71" i="15" s="1"/>
  <c r="AP71" i="15" s="1"/>
  <c r="AT71" i="15" s="1"/>
  <c r="AX71" i="15" s="1"/>
  <c r="H110" i="14"/>
  <c r="X6" i="12"/>
  <c r="W67" i="12"/>
  <c r="G110" i="14"/>
  <c r="AH47" i="3"/>
  <c r="AH48" i="3" s="1"/>
  <c r="AG128" i="1"/>
  <c r="I128" i="1" s="1"/>
  <c r="AH125" i="1"/>
  <c r="I125" i="1"/>
  <c r="AI17" i="3"/>
  <c r="AH135" i="1"/>
  <c r="AE72" i="15"/>
  <c r="AD72" i="15"/>
  <c r="AH72" i="15" s="1"/>
  <c r="AL72" i="15" s="1"/>
  <c r="AP72" i="15" s="1"/>
  <c r="AT72" i="15" s="1"/>
  <c r="AX72" i="15" s="1"/>
  <c r="AC72" i="15"/>
  <c r="AB71" i="15"/>
  <c r="AF71" i="15" s="1"/>
  <c r="AB109" i="14"/>
  <c r="AC109" i="14"/>
  <c r="AA109" i="14"/>
  <c r="AI108" i="14"/>
  <c r="AK108" i="14"/>
  <c r="AJ108" i="14"/>
  <c r="AP91" i="14"/>
  <c r="AP90" i="14"/>
  <c r="AN90" i="14"/>
  <c r="AO90" i="14"/>
  <c r="AM90" i="14"/>
  <c r="AT12" i="14"/>
  <c r="AP12" i="15"/>
  <c r="AR12" i="14"/>
  <c r="AS12" i="14"/>
  <c r="H78" i="14"/>
  <c r="H79" i="14" s="1"/>
  <c r="Z79" i="14"/>
  <c r="G78" i="14"/>
  <c r="G79" i="14" s="1"/>
  <c r="V79" i="14"/>
  <c r="AW12" i="15"/>
  <c r="AQ12" i="15"/>
  <c r="AV12" i="15"/>
  <c r="AW51" i="13"/>
  <c r="AX51" i="13"/>
  <c r="AY51" i="13"/>
  <c r="AZ51" i="13"/>
  <c r="Y83" i="14"/>
  <c r="Y85" i="14" s="1"/>
  <c r="AB83" i="14"/>
  <c r="AB85" i="14" s="1"/>
  <c r="V83" i="14"/>
  <c r="M15" i="8"/>
  <c r="L15" i="8"/>
  <c r="K15" i="8"/>
  <c r="J15" i="8"/>
  <c r="X83" i="14"/>
  <c r="X85" i="14" s="1"/>
  <c r="BA8" i="13"/>
  <c r="W83" i="14"/>
  <c r="W85" i="14" s="1"/>
  <c r="L48" i="18"/>
  <c r="K46" i="18"/>
  <c r="AB34" i="9" l="1"/>
  <c r="H29" i="9"/>
  <c r="H23" i="9"/>
  <c r="I26" i="22" s="1"/>
  <c r="AC36" i="9"/>
  <c r="AC85" i="13"/>
  <c r="AC86" i="13" s="1"/>
  <c r="AC87" i="13" s="1"/>
  <c r="AC89" i="13" s="1"/>
  <c r="AC90" i="13" s="1"/>
  <c r="AC34" i="9"/>
  <c r="AC35" i="9"/>
  <c r="AC32" i="9"/>
  <c r="AC37" i="9" s="1"/>
  <c r="AA34" i="9"/>
  <c r="AF27" i="25"/>
  <c r="AJ27" i="25" s="1"/>
  <c r="Z27" i="20"/>
  <c r="H28" i="20"/>
  <c r="Z35" i="26"/>
  <c r="AB35" i="26"/>
  <c r="AA35" i="26"/>
  <c r="AC35" i="26"/>
  <c r="AV75" i="3"/>
  <c r="AV76" i="3" s="1"/>
  <c r="AW64" i="3"/>
  <c r="AB116" i="14"/>
  <c r="AB118" i="14" s="1"/>
  <c r="AC116" i="14"/>
  <c r="AC118" i="14" s="1"/>
  <c r="AC119" i="14" s="1"/>
  <c r="AA85" i="13"/>
  <c r="AA86" i="13" s="1"/>
  <c r="AA87" i="13" s="1"/>
  <c r="AA89" i="13" s="1"/>
  <c r="AD27" i="25"/>
  <c r="AA116" i="14"/>
  <c r="AA118" i="14" s="1"/>
  <c r="AA119" i="14" s="1"/>
  <c r="AI27" i="25"/>
  <c r="AB90" i="13"/>
  <c r="Z34" i="9"/>
  <c r="Y25" i="25"/>
  <c r="Y27" i="25" s="1"/>
  <c r="Z36" i="9"/>
  <c r="Z35" i="9"/>
  <c r="Z32" i="9"/>
  <c r="Z37" i="9" s="1"/>
  <c r="H27" i="9"/>
  <c r="H32" i="9" s="1"/>
  <c r="K47" i="18"/>
  <c r="AQ90" i="14"/>
  <c r="AQ91" i="14"/>
  <c r="AD73" i="15"/>
  <c r="AI72" i="15"/>
  <c r="AM72" i="15" s="1"/>
  <c r="AQ72" i="15" s="1"/>
  <c r="AU72" i="15" s="1"/>
  <c r="AY72" i="15" s="1"/>
  <c r="AE73" i="15"/>
  <c r="AJ71" i="15"/>
  <c r="AN71" i="15" s="1"/>
  <c r="AR71" i="15" s="1"/>
  <c r="AV71" i="15" s="1"/>
  <c r="AZ71" i="15" s="1"/>
  <c r="Y6" i="12"/>
  <c r="X67" i="12"/>
  <c r="AJ17" i="3"/>
  <c r="AI135" i="1"/>
  <c r="AI125" i="1"/>
  <c r="AH128" i="1"/>
  <c r="AI47" i="3"/>
  <c r="AI48" i="3" s="1"/>
  <c r="AG72" i="15"/>
  <c r="AB72" i="15"/>
  <c r="AN108" i="14"/>
  <c r="AM108" i="14"/>
  <c r="V108" i="14"/>
  <c r="AO108" i="14"/>
  <c r="Z108" i="14"/>
  <c r="AD108" i="14" s="1"/>
  <c r="Y86" i="14"/>
  <c r="AU90" i="14"/>
  <c r="AU91" i="14"/>
  <c r="AS91" i="14"/>
  <c r="AS90" i="14"/>
  <c r="AT90" i="14"/>
  <c r="AT91" i="14"/>
  <c r="AR91" i="14"/>
  <c r="AR90" i="14"/>
  <c r="AX12" i="14"/>
  <c r="AT12" i="15"/>
  <c r="BA12" i="15"/>
  <c r="AZ12" i="15"/>
  <c r="AU12" i="15"/>
  <c r="AY12" i="14"/>
  <c r="AW12" i="14"/>
  <c r="AV12" i="14"/>
  <c r="BA51" i="13"/>
  <c r="AC83" i="14"/>
  <c r="AC85" i="14" s="1"/>
  <c r="AA83" i="14"/>
  <c r="AB86" i="14"/>
  <c r="N15" i="8"/>
  <c r="Q15" i="8"/>
  <c r="P15" i="8"/>
  <c r="O15" i="8"/>
  <c r="L46" i="18"/>
  <c r="M48" i="18"/>
  <c r="W86" i="14"/>
  <c r="G82" i="14"/>
  <c r="X86" i="14"/>
  <c r="V85" i="14"/>
  <c r="G83" i="14"/>
  <c r="H27" i="20" l="1"/>
  <c r="Z31" i="20"/>
  <c r="H31" i="20" s="1"/>
  <c r="AW66" i="3"/>
  <c r="AW67" i="3" s="1"/>
  <c r="AH27" i="25"/>
  <c r="AL27" i="25" s="1"/>
  <c r="AA90" i="13"/>
  <c r="AN27" i="25"/>
  <c r="H35" i="9"/>
  <c r="H68" i="9"/>
  <c r="I30" i="22"/>
  <c r="H69" i="9"/>
  <c r="H36" i="9"/>
  <c r="H37" i="9"/>
  <c r="H34" i="9"/>
  <c r="Z85" i="13"/>
  <c r="Z86" i="13" s="1"/>
  <c r="Z87" i="13" s="1"/>
  <c r="Z89" i="13" s="1"/>
  <c r="Z114" i="14"/>
  <c r="Z115" i="14" s="1"/>
  <c r="AC27" i="25"/>
  <c r="AM27" i="25"/>
  <c r="L47" i="18"/>
  <c r="U15" i="8" s="1"/>
  <c r="Y87" i="14"/>
  <c r="AB87" i="14"/>
  <c r="AK72" i="15"/>
  <c r="AO72" i="15" s="1"/>
  <c r="AS72" i="15" s="1"/>
  <c r="AW72" i="15" s="1"/>
  <c r="BA72" i="15" s="1"/>
  <c r="AG73" i="15"/>
  <c r="Y67" i="12"/>
  <c r="Z6" i="12"/>
  <c r="AB119" i="14"/>
  <c r="I108" i="14"/>
  <c r="H108" i="14"/>
  <c r="H111" i="14" s="1"/>
  <c r="V109" i="14"/>
  <c r="G108" i="14"/>
  <c r="G111" i="14" s="1"/>
  <c r="AJ47" i="3"/>
  <c r="AJ48" i="3" s="1"/>
  <c r="AI128" i="1"/>
  <c r="AJ125" i="1"/>
  <c r="AK17" i="3"/>
  <c r="AJ135" i="1"/>
  <c r="AF72" i="15"/>
  <c r="AQ108" i="14"/>
  <c r="AH108" i="14"/>
  <c r="J108" i="14" s="1"/>
  <c r="Z109" i="14"/>
  <c r="AS108" i="14"/>
  <c r="AR108" i="14"/>
  <c r="AA85" i="14"/>
  <c r="AA86" i="14" s="1"/>
  <c r="AY91" i="14"/>
  <c r="AY90" i="14"/>
  <c r="AV91" i="14"/>
  <c r="AV90" i="14"/>
  <c r="AX91" i="14"/>
  <c r="AX90" i="14"/>
  <c r="AW91" i="14"/>
  <c r="AW90" i="14"/>
  <c r="BA12" i="14"/>
  <c r="AZ12" i="14"/>
  <c r="AY12" i="15"/>
  <c r="AX12" i="15"/>
  <c r="AC86" i="14"/>
  <c r="V86" i="14"/>
  <c r="G85" i="14"/>
  <c r="X87" i="14"/>
  <c r="W87" i="14"/>
  <c r="T15" i="8"/>
  <c r="S15" i="8"/>
  <c r="R15" i="8"/>
  <c r="H82" i="14"/>
  <c r="Z83" i="14"/>
  <c r="M46" i="18"/>
  <c r="N48" i="18"/>
  <c r="N46" i="18" s="1"/>
  <c r="AW75" i="3" l="1"/>
  <c r="AW76" i="3" s="1"/>
  <c r="AX64" i="3"/>
  <c r="AQ27" i="25"/>
  <c r="AG27" i="25"/>
  <c r="AP27" i="25"/>
  <c r="Z90" i="13"/>
  <c r="AR27" i="25"/>
  <c r="M47" i="18"/>
  <c r="V87" i="14"/>
  <c r="G87" i="14" s="1"/>
  <c r="AA87" i="14"/>
  <c r="AC87" i="14"/>
  <c r="AJ72" i="15"/>
  <c r="AN72" i="15" s="1"/>
  <c r="AR72" i="15" s="1"/>
  <c r="AV72" i="15" s="1"/>
  <c r="AZ72" i="15" s="1"/>
  <c r="AF73" i="15"/>
  <c r="AA6" i="12"/>
  <c r="AA67" i="12" s="1"/>
  <c r="Z67" i="12"/>
  <c r="Z116" i="14"/>
  <c r="Z118" i="14" s="1"/>
  <c r="H109" i="14"/>
  <c r="V116" i="14"/>
  <c r="V118" i="14" s="1"/>
  <c r="G109" i="14"/>
  <c r="J17" i="3"/>
  <c r="AL17" i="3"/>
  <c r="AK135" i="1"/>
  <c r="J135" i="1" s="1"/>
  <c r="AK125" i="1"/>
  <c r="AK128" i="1" s="1"/>
  <c r="AJ128" i="1"/>
  <c r="AK47" i="3"/>
  <c r="AK48" i="3" s="1"/>
  <c r="AW108" i="14"/>
  <c r="AL108" i="14"/>
  <c r="K108" i="14" s="1"/>
  <c r="AV108" i="14"/>
  <c r="AU108" i="14"/>
  <c r="AZ91" i="14"/>
  <c r="AZ90" i="14"/>
  <c r="BA91" i="14"/>
  <c r="BA90" i="14"/>
  <c r="N47" i="18"/>
  <c r="Z15" i="8" s="1"/>
  <c r="H83" i="14"/>
  <c r="Z85" i="14"/>
  <c r="V15" i="8"/>
  <c r="Y15" i="8"/>
  <c r="X15" i="8"/>
  <c r="W15" i="8"/>
  <c r="G86" i="14"/>
  <c r="AX66" i="3" l="1"/>
  <c r="AX67" i="3" s="1"/>
  <c r="AK27" i="25"/>
  <c r="AV27" i="25"/>
  <c r="AU27" i="25"/>
  <c r="AT27" i="25"/>
  <c r="V69" i="12"/>
  <c r="H118" i="14"/>
  <c r="G118" i="14"/>
  <c r="Z119" i="14"/>
  <c r="AL47" i="3"/>
  <c r="AL48" i="3" s="1"/>
  <c r="AM17" i="3"/>
  <c r="AL135" i="1"/>
  <c r="F47" i="12"/>
  <c r="F49" i="12"/>
  <c r="F60" i="12" s="1"/>
  <c r="AY108" i="14"/>
  <c r="AZ108" i="14"/>
  <c r="AP108" i="14"/>
  <c r="L108" i="14" s="1"/>
  <c r="BA108" i="14"/>
  <c r="AA15" i="8"/>
  <c r="AB15" i="8"/>
  <c r="AC15" i="8"/>
  <c r="Z86" i="14"/>
  <c r="H85" i="14"/>
  <c r="AX75" i="3" l="1"/>
  <c r="AX76" i="3" s="1"/>
  <c r="AY64" i="3"/>
  <c r="AX27" i="25"/>
  <c r="AZ27" i="25"/>
  <c r="AY27" i="25"/>
  <c r="AO27" i="25"/>
  <c r="W69" i="12"/>
  <c r="AN17" i="3"/>
  <c r="AM135" i="1"/>
  <c r="AM47" i="3"/>
  <c r="AM48" i="3" s="1"/>
  <c r="AT108" i="14"/>
  <c r="M108" i="14" s="1"/>
  <c r="Z87" i="14"/>
  <c r="H86" i="14"/>
  <c r="AY66" i="3" l="1"/>
  <c r="AY67" i="3" s="1"/>
  <c r="AS27" i="25"/>
  <c r="F25" i="9"/>
  <c r="F30" i="9" s="1"/>
  <c r="G25" i="9"/>
  <c r="G30" i="9" s="1"/>
  <c r="L25" i="9"/>
  <c r="M28" i="22" s="1"/>
  <c r="M25" i="9"/>
  <c r="N28" i="22" s="1"/>
  <c r="N25" i="9"/>
  <c r="O28" i="22" s="1"/>
  <c r="X69" i="12"/>
  <c r="AN47" i="3"/>
  <c r="AN48" i="3" s="1"/>
  <c r="AO17" i="3"/>
  <c r="AN135" i="1"/>
  <c r="G47" i="12"/>
  <c r="G49" i="12"/>
  <c r="G60" i="12" s="1"/>
  <c r="AX108" i="14"/>
  <c r="N108" i="14" s="1"/>
  <c r="H87" i="14"/>
  <c r="AY75" i="3" l="1"/>
  <c r="AY76" i="3" s="1"/>
  <c r="AZ64" i="3"/>
  <c r="F35" i="9"/>
  <c r="F32" i="9"/>
  <c r="F37" i="9" s="1"/>
  <c r="G35" i="9"/>
  <c r="P25" i="9"/>
  <c r="AW27" i="25"/>
  <c r="Y69" i="12"/>
  <c r="K17" i="3"/>
  <c r="AP17" i="3"/>
  <c r="AO135" i="1"/>
  <c r="K135" i="1" s="1"/>
  <c r="AO47" i="3"/>
  <c r="AO48" i="3" s="1"/>
  <c r="AZ66" i="3" l="1"/>
  <c r="AZ67" i="3" s="1"/>
  <c r="AP47" i="3"/>
  <c r="AP48" i="3" s="1"/>
  <c r="AQ17" i="3"/>
  <c r="AP135" i="1"/>
  <c r="Z69" i="12"/>
  <c r="Z68" i="12"/>
  <c r="AZ75" i="3" l="1"/>
  <c r="AZ76" i="3" s="1"/>
  <c r="BA64" i="3"/>
  <c r="AR17" i="3"/>
  <c r="AQ135" i="1"/>
  <c r="AQ47" i="3"/>
  <c r="AQ48" i="3" s="1"/>
  <c r="AA69" i="12"/>
  <c r="AA68" i="12"/>
  <c r="BA66" i="3" l="1"/>
  <c r="BA67" i="3" s="1"/>
  <c r="BA75" i="3" s="1"/>
  <c r="BA76" i="3" s="1"/>
  <c r="AS17" i="3"/>
  <c r="AR135" i="1"/>
  <c r="AR47" i="3"/>
  <c r="AR48" i="3" s="1"/>
  <c r="AT17" i="3" l="1"/>
  <c r="L17" i="3"/>
  <c r="AS135" i="1"/>
  <c r="L135" i="1" s="1"/>
  <c r="AS47" i="3"/>
  <c r="AS48" i="3" s="1"/>
  <c r="Z69" i="20"/>
  <c r="H69" i="20" s="1"/>
  <c r="H90" i="9"/>
  <c r="G89" i="9"/>
  <c r="G94" i="9" s="1"/>
  <c r="AA68" i="20"/>
  <c r="H89" i="9"/>
  <c r="AU17" i="3" l="1"/>
  <c r="AT135" i="1"/>
  <c r="AT47" i="3"/>
  <c r="AT48" i="3" s="1"/>
  <c r="H94" i="9"/>
  <c r="AA73" i="20"/>
  <c r="H68" i="20"/>
  <c r="H73" i="20" s="1"/>
  <c r="AU47" i="3" l="1"/>
  <c r="AU48" i="3" s="1"/>
  <c r="AV17" i="3"/>
  <c r="AU135" i="1"/>
  <c r="AW17" i="3" l="1"/>
  <c r="AV135" i="1"/>
  <c r="AV47" i="3"/>
  <c r="AV48" i="3" s="1"/>
  <c r="AX17" i="3" l="1"/>
  <c r="M17" i="3"/>
  <c r="AW135" i="1"/>
  <c r="M135" i="1" s="1"/>
  <c r="AW47" i="3"/>
  <c r="AW48" i="3" s="1"/>
  <c r="AX47" i="3" l="1"/>
  <c r="AX48" i="3" s="1"/>
  <c r="AY17" i="3"/>
  <c r="AX135" i="1"/>
  <c r="AZ17" i="3" l="1"/>
  <c r="AY135" i="1"/>
  <c r="AY47" i="3"/>
  <c r="AY48" i="3" s="1"/>
  <c r="AZ47" i="3" l="1"/>
  <c r="AZ48" i="3" s="1"/>
  <c r="BA17" i="3"/>
  <c r="AZ135" i="1"/>
  <c r="N17" i="3" l="1"/>
  <c r="BA135" i="1"/>
  <c r="N135" i="1" s="1"/>
  <c r="BA47" i="3"/>
  <c r="BA48" i="3" s="1"/>
  <c r="AC88" i="20" l="1"/>
  <c r="H88" i="20" s="1"/>
  <c r="H109" i="9"/>
  <c r="G100" i="9"/>
  <c r="H100" i="9"/>
  <c r="AC71" i="20" l="1"/>
  <c r="AC74" i="20" s="1"/>
  <c r="AB71" i="20"/>
  <c r="H92" i="9"/>
  <c r="AB80" i="20"/>
  <c r="H101" i="9"/>
  <c r="AB89" i="20"/>
  <c r="H110" i="9"/>
  <c r="H113" i="9" l="1"/>
  <c r="AB92" i="20"/>
  <c r="H89" i="20"/>
  <c r="H92" i="20" s="1"/>
  <c r="H104" i="9"/>
  <c r="AB83" i="20"/>
  <c r="H80" i="20"/>
  <c r="H83" i="20" s="1"/>
  <c r="H95" i="9"/>
  <c r="AB74" i="20"/>
  <c r="H71" i="20"/>
  <c r="H74" i="20" s="1"/>
  <c r="R8" i="15" l="1"/>
  <c r="R8" i="20"/>
  <c r="R8" i="14"/>
  <c r="S8" i="15"/>
  <c r="T8" i="15"/>
  <c r="U8" i="15"/>
  <c r="V8" i="15"/>
  <c r="W8" i="15"/>
  <c r="X8" i="15"/>
  <c r="Y8" i="15"/>
  <c r="Z8" i="15"/>
  <c r="AA8" i="15"/>
  <c r="AB8" i="15"/>
  <c r="AC8" i="15"/>
  <c r="AD8" i="15"/>
  <c r="AE8" i="15"/>
  <c r="AF8" i="15"/>
  <c r="AG8" i="15"/>
  <c r="AH8" i="15"/>
  <c r="AI8" i="15"/>
  <c r="AJ8" i="15"/>
  <c r="AK8" i="15"/>
  <c r="AL8" i="15"/>
  <c r="AM8" i="15"/>
  <c r="AN8" i="15"/>
  <c r="AO8" i="15"/>
  <c r="AP8" i="15"/>
  <c r="AQ8" i="15"/>
  <c r="AR8" i="15"/>
  <c r="AS8" i="15"/>
  <c r="AT8" i="15"/>
  <c r="AU8" i="15"/>
  <c r="AV8" i="15"/>
  <c r="AW8" i="15"/>
  <c r="AX8" i="15"/>
  <c r="AY8" i="15"/>
  <c r="AZ8" i="15"/>
  <c r="BA8" i="15"/>
  <c r="Y12" i="3"/>
  <c r="Y28" i="3" s="1"/>
  <c r="G28" i="3" s="1"/>
  <c r="Z12" i="3"/>
  <c r="Z28" i="3" s="1"/>
  <c r="AA12" i="3"/>
  <c r="AA29" i="3" s="1"/>
  <c r="AB12" i="3"/>
  <c r="AB28" i="3" s="1"/>
  <c r="AC12" i="3"/>
  <c r="AC28" i="3" s="1"/>
  <c r="H28" i="3" s="1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F8" i="5"/>
  <c r="G8" i="5"/>
  <c r="H8" i="5"/>
  <c r="I8" i="5"/>
  <c r="J8" i="5"/>
  <c r="K8" i="5"/>
  <c r="L8" i="5"/>
  <c r="M8" i="5"/>
  <c r="N8" i="5"/>
  <c r="S8" i="20"/>
  <c r="T8" i="20"/>
  <c r="U8" i="20"/>
  <c r="V8" i="20"/>
  <c r="W8" i="20"/>
  <c r="X8" i="20"/>
  <c r="Y8" i="20"/>
  <c r="Z8" i="20"/>
  <c r="AA8" i="20"/>
  <c r="AB8" i="20"/>
  <c r="AC8" i="20"/>
  <c r="AD8" i="20"/>
  <c r="AE8" i="20"/>
  <c r="AF8" i="20"/>
  <c r="AG8" i="20"/>
  <c r="AH8" i="20"/>
  <c r="AI8" i="20"/>
  <c r="AJ8" i="20"/>
  <c r="AK8" i="20"/>
  <c r="AL8" i="20"/>
  <c r="AM8" i="20"/>
  <c r="AN8" i="20"/>
  <c r="AO8" i="20"/>
  <c r="AP8" i="20"/>
  <c r="AQ8" i="20"/>
  <c r="AR8" i="20"/>
  <c r="AS8" i="20"/>
  <c r="AT8" i="20"/>
  <c r="AU8" i="20"/>
  <c r="AV8" i="20"/>
  <c r="AW8" i="20"/>
  <c r="AX8" i="20"/>
  <c r="AY8" i="20"/>
  <c r="AZ8" i="20"/>
  <c r="BA8" i="20"/>
  <c r="S8" i="14"/>
  <c r="T8" i="14"/>
  <c r="U8" i="14"/>
  <c r="V8" i="14"/>
  <c r="W8" i="14"/>
  <c r="X8" i="14"/>
  <c r="Y8" i="14"/>
  <c r="Z8" i="14"/>
  <c r="AA8" i="14"/>
  <c r="AB8" i="14"/>
  <c r="AC8" i="14"/>
  <c r="AD8" i="14"/>
  <c r="AE8" i="14"/>
  <c r="AF8" i="14"/>
  <c r="AG8" i="14"/>
  <c r="AH8" i="14"/>
  <c r="AI8" i="14"/>
  <c r="AJ8" i="14"/>
  <c r="AK8" i="14"/>
  <c r="AL8" i="14"/>
  <c r="AM8" i="14"/>
  <c r="AN8" i="14"/>
  <c r="AO8" i="14"/>
  <c r="AP8" i="14"/>
  <c r="AQ8" i="14"/>
  <c r="AR8" i="14"/>
  <c r="AS8" i="14"/>
  <c r="AT8" i="14"/>
  <c r="AU8" i="14"/>
  <c r="AV8" i="14"/>
  <c r="AW8" i="14"/>
  <c r="AX8" i="14"/>
  <c r="AY8" i="14"/>
  <c r="AZ8" i="14"/>
  <c r="BA8" i="14"/>
  <c r="AX88" i="3" l="1"/>
  <c r="AT87" i="3"/>
  <c r="AP88" i="3"/>
  <c r="AL78" i="3"/>
  <c r="AL70" i="3" s="1"/>
  <c r="AH88" i="3"/>
  <c r="AD78" i="3"/>
  <c r="AD70" i="3" s="1"/>
  <c r="BA87" i="3"/>
  <c r="AW119" i="3"/>
  <c r="AS78" i="3"/>
  <c r="AS70" i="3" s="1"/>
  <c r="AO88" i="3"/>
  <c r="AK78" i="3"/>
  <c r="AK70" i="3" s="1"/>
  <c r="AG119" i="3"/>
  <c r="AZ78" i="3"/>
  <c r="AZ70" i="3" s="1"/>
  <c r="AV88" i="3"/>
  <c r="AR78" i="3"/>
  <c r="AR70" i="3" s="1"/>
  <c r="AN88" i="3"/>
  <c r="AJ78" i="3"/>
  <c r="AJ70" i="3" s="1"/>
  <c r="AF88" i="3"/>
  <c r="AY87" i="3"/>
  <c r="AU87" i="3"/>
  <c r="AQ87" i="3"/>
  <c r="AM87" i="3"/>
  <c r="AI87" i="3"/>
  <c r="AE87" i="3"/>
  <c r="AI120" i="3"/>
  <c r="AY120" i="3"/>
  <c r="AQ119" i="3"/>
  <c r="AU88" i="3"/>
  <c r="AK90" i="3"/>
  <c r="AL86" i="3" s="1"/>
  <c r="AF87" i="3"/>
  <c r="AM78" i="3"/>
  <c r="AM70" i="3" s="1"/>
  <c r="AE110" i="3"/>
  <c r="AE102" i="3" s="1"/>
  <c r="AQ122" i="3"/>
  <c r="AR118" i="3" s="1"/>
  <c r="AU110" i="3"/>
  <c r="AU102" i="3" s="1"/>
  <c r="AI122" i="3"/>
  <c r="AJ118" i="3" s="1"/>
  <c r="AM110" i="3"/>
  <c r="AM102" i="3" s="1"/>
  <c r="AU78" i="3"/>
  <c r="AU70" i="3" s="1"/>
  <c r="AQ120" i="3"/>
  <c r="AU90" i="3"/>
  <c r="AV86" i="3" s="1"/>
  <c r="AE78" i="3"/>
  <c r="AE70" i="3" s="1"/>
  <c r="AY119" i="3"/>
  <c r="AE90" i="3"/>
  <c r="AF86" i="3" s="1"/>
  <c r="AY122" i="3"/>
  <c r="AZ118" i="3" s="1"/>
  <c r="AI119" i="3"/>
  <c r="AE88" i="3"/>
  <c r="AG110" i="3"/>
  <c r="AG102" i="3" s="1"/>
  <c r="AS122" i="3"/>
  <c r="AT118" i="3" s="1"/>
  <c r="AK120" i="3"/>
  <c r="BA110" i="3"/>
  <c r="BA102" i="3" s="1"/>
  <c r="AG78" i="3"/>
  <c r="AG70" i="3" s="1"/>
  <c r="AK122" i="3"/>
  <c r="AL118" i="3" s="1"/>
  <c r="BA119" i="3"/>
  <c r="AK88" i="3"/>
  <c r="BA120" i="3"/>
  <c r="AS119" i="3"/>
  <c r="AS87" i="3"/>
  <c r="AG87" i="3"/>
  <c r="BA122" i="3"/>
  <c r="AS120" i="3"/>
  <c r="AK119" i="3"/>
  <c r="AS90" i="3"/>
  <c r="AT86" i="3" s="1"/>
  <c r="AG88" i="3"/>
  <c r="AO122" i="3"/>
  <c r="AP118" i="3" s="1"/>
  <c r="AW120" i="3"/>
  <c r="AG120" i="3"/>
  <c r="AO119" i="3"/>
  <c r="BA90" i="3"/>
  <c r="BA78" i="3"/>
  <c r="BA70" i="3" s="1"/>
  <c r="Y29" i="3"/>
  <c r="G29" i="3" s="1"/>
  <c r="AW110" i="3"/>
  <c r="AW102" i="3" s="1"/>
  <c r="AG90" i="3"/>
  <c r="AH86" i="3" s="1"/>
  <c r="AM122" i="3"/>
  <c r="AN118" i="3" s="1"/>
  <c r="AU120" i="3"/>
  <c r="AE120" i="3"/>
  <c r="AM119" i="3"/>
  <c r="AS110" i="3"/>
  <c r="AS102" i="3" s="1"/>
  <c r="AW90" i="3"/>
  <c r="AX86" i="3" s="1"/>
  <c r="BA88" i="3"/>
  <c r="AW87" i="3"/>
  <c r="AW78" i="3"/>
  <c r="AW70" i="3" s="1"/>
  <c r="AO110" i="3"/>
  <c r="AO102" i="3" s="1"/>
  <c r="AW88" i="3"/>
  <c r="AO87" i="3"/>
  <c r="AO78" i="3"/>
  <c r="AO70" i="3" s="1"/>
  <c r="AW122" i="3"/>
  <c r="AX118" i="3" s="1"/>
  <c r="AG122" i="3"/>
  <c r="AH118" i="3" s="1"/>
  <c r="AO120" i="3"/>
  <c r="AK110" i="3"/>
  <c r="AK102" i="3" s="1"/>
  <c r="AO90" i="3"/>
  <c r="AP86" i="3" s="1"/>
  <c r="AN87" i="3"/>
  <c r="AU122" i="3"/>
  <c r="AV118" i="3" s="1"/>
  <c r="AE122" i="3"/>
  <c r="AF118" i="3" s="1"/>
  <c r="AM120" i="3"/>
  <c r="AU119" i="3"/>
  <c r="AE119" i="3"/>
  <c r="AI110" i="3"/>
  <c r="AI102" i="3" s="1"/>
  <c r="AM90" i="3"/>
  <c r="AN86" i="3" s="1"/>
  <c r="AM88" i="3"/>
  <c r="AK87" i="3"/>
  <c r="AS88" i="3"/>
  <c r="AV87" i="3"/>
  <c r="AC29" i="3"/>
  <c r="H29" i="3" s="1"/>
  <c r="AQ110" i="3"/>
  <c r="AQ102" i="3" s="1"/>
  <c r="AY90" i="3"/>
  <c r="AZ86" i="3" s="1"/>
  <c r="AI90" i="3"/>
  <c r="AJ86" i="3" s="1"/>
  <c r="AQ88" i="3"/>
  <c r="AX87" i="3"/>
  <c r="AH87" i="3"/>
  <c r="AQ78" i="3"/>
  <c r="AQ70" i="3" s="1"/>
  <c r="Z29" i="3"/>
  <c r="Z30" i="3" s="1"/>
  <c r="AY110" i="3"/>
  <c r="AY102" i="3" s="1"/>
  <c r="AQ90" i="3"/>
  <c r="AR86" i="3" s="1"/>
  <c r="AY88" i="3"/>
  <c r="AI88" i="3"/>
  <c r="AP87" i="3"/>
  <c r="AY78" i="3"/>
  <c r="AY70" i="3" s="1"/>
  <c r="AI78" i="3"/>
  <c r="AI70" i="3" s="1"/>
  <c r="AT122" i="3"/>
  <c r="AU118" i="3" s="1"/>
  <c r="AL122" i="3"/>
  <c r="AM118" i="3" s="1"/>
  <c r="AD122" i="3"/>
  <c r="AE118" i="3" s="1"/>
  <c r="AT120" i="3"/>
  <c r="AL120" i="3"/>
  <c r="AD120" i="3"/>
  <c r="AT119" i="3"/>
  <c r="AL119" i="3"/>
  <c r="AD119" i="3"/>
  <c r="AT110" i="3"/>
  <c r="AT102" i="3" s="1"/>
  <c r="AL110" i="3"/>
  <c r="AL102" i="3" s="1"/>
  <c r="AD110" i="3"/>
  <c r="AD102" i="3" s="1"/>
  <c r="AT90" i="3"/>
  <c r="AU86" i="3" s="1"/>
  <c r="AL90" i="3"/>
  <c r="AM86" i="3" s="1"/>
  <c r="AD90" i="3"/>
  <c r="AT88" i="3"/>
  <c r="AL88" i="3"/>
  <c r="AD88" i="3"/>
  <c r="AR87" i="3"/>
  <c r="AX78" i="3"/>
  <c r="AX70" i="3" s="1"/>
  <c r="AP78" i="3"/>
  <c r="AP70" i="3" s="1"/>
  <c r="AH78" i="3"/>
  <c r="AH70" i="3" s="1"/>
  <c r="AZ122" i="3"/>
  <c r="BA118" i="3" s="1"/>
  <c r="AR122" i="3"/>
  <c r="AS118" i="3" s="1"/>
  <c r="AJ122" i="3"/>
  <c r="AK118" i="3" s="1"/>
  <c r="AZ120" i="3"/>
  <c r="AR120" i="3"/>
  <c r="AJ120" i="3"/>
  <c r="AZ119" i="3"/>
  <c r="AR119" i="3"/>
  <c r="AJ119" i="3"/>
  <c r="AZ110" i="3"/>
  <c r="AZ102" i="3" s="1"/>
  <c r="AR110" i="3"/>
  <c r="AR102" i="3" s="1"/>
  <c r="AJ110" i="3"/>
  <c r="AJ102" i="3" s="1"/>
  <c r="AZ90" i="3"/>
  <c r="BA86" i="3" s="1"/>
  <c r="AR90" i="3"/>
  <c r="AS86" i="3" s="1"/>
  <c r="AJ90" i="3"/>
  <c r="AK86" i="3" s="1"/>
  <c r="AZ88" i="3"/>
  <c r="AR88" i="3"/>
  <c r="AJ88" i="3"/>
  <c r="AZ87" i="3"/>
  <c r="AD87" i="3"/>
  <c r="AV78" i="3"/>
  <c r="AV70" i="3" s="1"/>
  <c r="AN78" i="3"/>
  <c r="AN70" i="3" s="1"/>
  <c r="AF78" i="3"/>
  <c r="AF70" i="3" s="1"/>
  <c r="AX122" i="3"/>
  <c r="AY118" i="3" s="1"/>
  <c r="AP122" i="3"/>
  <c r="AQ118" i="3" s="1"/>
  <c r="AH122" i="3"/>
  <c r="AX120" i="3"/>
  <c r="AP120" i="3"/>
  <c r="AH120" i="3"/>
  <c r="AX119" i="3"/>
  <c r="AP119" i="3"/>
  <c r="AH119" i="3"/>
  <c r="AX110" i="3"/>
  <c r="AX102" i="3" s="1"/>
  <c r="AP110" i="3"/>
  <c r="AP102" i="3" s="1"/>
  <c r="AH110" i="3"/>
  <c r="AH102" i="3" s="1"/>
  <c r="AX90" i="3"/>
  <c r="AY86" i="3" s="1"/>
  <c r="AP90" i="3"/>
  <c r="AQ86" i="3" s="1"/>
  <c r="AH90" i="3"/>
  <c r="AI86" i="3" s="1"/>
  <c r="AL87" i="3"/>
  <c r="AT78" i="3"/>
  <c r="AT70" i="3" s="1"/>
  <c r="AV122" i="3"/>
  <c r="AW118" i="3" s="1"/>
  <c r="AN122" i="3"/>
  <c r="AO118" i="3" s="1"/>
  <c r="AF122" i="3"/>
  <c r="AG118" i="3" s="1"/>
  <c r="AV120" i="3"/>
  <c r="AN120" i="3"/>
  <c r="AF120" i="3"/>
  <c r="AV119" i="3"/>
  <c r="AN119" i="3"/>
  <c r="AF119" i="3"/>
  <c r="AV110" i="3"/>
  <c r="AV102" i="3" s="1"/>
  <c r="AN110" i="3"/>
  <c r="AN102" i="3" s="1"/>
  <c r="AF110" i="3"/>
  <c r="AF102" i="3" s="1"/>
  <c r="AV90" i="3"/>
  <c r="AW86" i="3" s="1"/>
  <c r="AN90" i="3"/>
  <c r="AO86" i="3" s="1"/>
  <c r="AF90" i="3"/>
  <c r="AJ87" i="3"/>
  <c r="AB29" i="3"/>
  <c r="AB30" i="3" s="1"/>
  <c r="Y30" i="3"/>
  <c r="G30" i="3" s="1"/>
  <c r="AA28" i="3"/>
  <c r="AA30" i="3" s="1"/>
  <c r="AJ73" i="3" l="1"/>
  <c r="AK69" i="3" s="1"/>
  <c r="AS73" i="3"/>
  <c r="AT69" i="3" s="1"/>
  <c r="AD71" i="3"/>
  <c r="AK73" i="3"/>
  <c r="AL69" i="3" s="1"/>
  <c r="AL71" i="3"/>
  <c r="AZ73" i="3"/>
  <c r="AD73" i="3"/>
  <c r="AE69" i="3" s="1"/>
  <c r="AJ71" i="3"/>
  <c r="AS71" i="3"/>
  <c r="AZ71" i="3"/>
  <c r="AR73" i="3"/>
  <c r="AS69" i="3" s="1"/>
  <c r="AK71" i="3"/>
  <c r="AR71" i="3"/>
  <c r="AL73" i="3"/>
  <c r="AM69" i="3" s="1"/>
  <c r="AS105" i="3"/>
  <c r="AT101" i="3" s="1"/>
  <c r="BA73" i="3"/>
  <c r="AM105" i="3"/>
  <c r="AN101" i="3" s="1"/>
  <c r="AU105" i="3"/>
  <c r="AV101" i="3" s="1"/>
  <c r="AO71" i="3"/>
  <c r="AY71" i="3"/>
  <c r="AU71" i="3"/>
  <c r="AF105" i="3"/>
  <c r="AG101" i="3" s="1"/>
  <c r="AM71" i="3"/>
  <c r="AH73" i="3"/>
  <c r="AI69" i="3" s="1"/>
  <c r="AG103" i="3"/>
  <c r="AG105" i="3"/>
  <c r="AH101" i="3" s="1"/>
  <c r="AF89" i="3"/>
  <c r="AJ103" i="3"/>
  <c r="AO121" i="3"/>
  <c r="AE103" i="3"/>
  <c r="AE73" i="3"/>
  <c r="AM73" i="3"/>
  <c r="AN69" i="3" s="1"/>
  <c r="AW71" i="3"/>
  <c r="AE71" i="3"/>
  <c r="AK103" i="3"/>
  <c r="AI103" i="3"/>
  <c r="AW73" i="3"/>
  <c r="AK105" i="3"/>
  <c r="AL101" i="3" s="1"/>
  <c r="AE105" i="3"/>
  <c r="AF101" i="3" s="1"/>
  <c r="AI38" i="3"/>
  <c r="AI88" i="1" s="1"/>
  <c r="AI105" i="3"/>
  <c r="AJ101" i="3" s="1"/>
  <c r="AT105" i="3"/>
  <c r="AU101" i="3" s="1"/>
  <c r="AF103" i="3"/>
  <c r="AJ105" i="3"/>
  <c r="AK101" i="3" s="1"/>
  <c r="AS121" i="3"/>
  <c r="AQ38" i="3"/>
  <c r="AQ88" i="1" s="1"/>
  <c r="AY105" i="3"/>
  <c r="AZ101" i="3" s="1"/>
  <c r="AT103" i="3"/>
  <c r="AU89" i="3"/>
  <c r="BA103" i="3"/>
  <c r="AU103" i="3"/>
  <c r="AG73" i="3"/>
  <c r="AW105" i="3"/>
  <c r="AX101" i="3" s="1"/>
  <c r="AQ121" i="3"/>
  <c r="AM38" i="3"/>
  <c r="AM88" i="1" s="1"/>
  <c r="BA38" i="3"/>
  <c r="BA88" i="1" s="1"/>
  <c r="AW38" i="3"/>
  <c r="AW88" i="1" s="1"/>
  <c r="AD103" i="3"/>
  <c r="AT73" i="3"/>
  <c r="AU69" i="3" s="1"/>
  <c r="AN73" i="3"/>
  <c r="AO69" i="3" s="1"/>
  <c r="AW121" i="3"/>
  <c r="BA121" i="3"/>
  <c r="AG38" i="3"/>
  <c r="AG88" i="1" s="1"/>
  <c r="AP73" i="3"/>
  <c r="AQ69" i="3" s="1"/>
  <c r="AO103" i="3"/>
  <c r="AF71" i="3"/>
  <c r="AG71" i="3"/>
  <c r="AQ89" i="3"/>
  <c r="AP89" i="3"/>
  <c r="AW89" i="3"/>
  <c r="AW103" i="3"/>
  <c r="AD105" i="3"/>
  <c r="AE101" i="3" s="1"/>
  <c r="AX71" i="3"/>
  <c r="AX38" i="3"/>
  <c r="AX88" i="1" s="1"/>
  <c r="AX89" i="3"/>
  <c r="AN71" i="3"/>
  <c r="AX73" i="3"/>
  <c r="AY69" i="3" s="1"/>
  <c r="AO105" i="3"/>
  <c r="AP101" i="3" s="1"/>
  <c r="AV71" i="3"/>
  <c r="AU38" i="3"/>
  <c r="AU88" i="1" s="1"/>
  <c r="AK89" i="3"/>
  <c r="AU73" i="3"/>
  <c r="AU14" i="3" s="1"/>
  <c r="AY89" i="3"/>
  <c r="BA105" i="3"/>
  <c r="AN89" i="3"/>
  <c r="AV73" i="3"/>
  <c r="AW69" i="3" s="1"/>
  <c r="AL103" i="3"/>
  <c r="AG121" i="3"/>
  <c r="AI89" i="3"/>
  <c r="AL105" i="3"/>
  <c r="AM101" i="3" s="1"/>
  <c r="AL38" i="3"/>
  <c r="AL88" i="1" s="1"/>
  <c r="AL121" i="3"/>
  <c r="AQ73" i="3"/>
  <c r="AR69" i="3" s="1"/>
  <c r="BA89" i="3"/>
  <c r="AU121" i="3"/>
  <c r="AP38" i="3"/>
  <c r="AP88" i="1" s="1"/>
  <c r="AP103" i="3"/>
  <c r="AY121" i="3"/>
  <c r="AM89" i="3"/>
  <c r="AS38" i="3"/>
  <c r="AS88" i="1" s="1"/>
  <c r="AK38" i="3"/>
  <c r="AK88" i="1" s="1"/>
  <c r="AO73" i="3"/>
  <c r="AY73" i="3"/>
  <c r="AY14" i="3" s="1"/>
  <c r="AS89" i="3"/>
  <c r="AR121" i="3"/>
  <c r="AH71" i="3"/>
  <c r="AM103" i="3"/>
  <c r="AH89" i="3"/>
  <c r="AS103" i="3"/>
  <c r="AS40" i="3" s="1"/>
  <c r="BA71" i="3"/>
  <c r="AT71" i="3"/>
  <c r="AP121" i="3"/>
  <c r="AH38" i="3"/>
  <c r="AH88" i="1" s="1"/>
  <c r="AZ38" i="3"/>
  <c r="AZ88" i="1" s="1"/>
  <c r="AR38" i="3"/>
  <c r="AR88" i="1" s="1"/>
  <c r="AK121" i="3"/>
  <c r="AD38" i="3"/>
  <c r="AY38" i="3"/>
  <c r="AY88" i="1" s="1"/>
  <c r="AE38" i="3"/>
  <c r="AE88" i="1" s="1"/>
  <c r="AH121" i="3"/>
  <c r="AV103" i="3"/>
  <c r="AZ105" i="3"/>
  <c r="AZ14" i="3" s="1"/>
  <c r="AV105" i="3"/>
  <c r="AO38" i="3"/>
  <c r="AO88" i="1" s="1"/>
  <c r="AC30" i="3"/>
  <c r="H30" i="3" s="1"/>
  <c r="AI73" i="3"/>
  <c r="AJ69" i="3" s="1"/>
  <c r="AT38" i="3"/>
  <c r="AT88" i="1" s="1"/>
  <c r="AV121" i="3"/>
  <c r="AN103" i="3"/>
  <c r="AF73" i="3"/>
  <c r="AX103" i="3"/>
  <c r="AZ121" i="3"/>
  <c r="AT121" i="3"/>
  <c r="AE121" i="3"/>
  <c r="AN105" i="3"/>
  <c r="AJ38" i="3"/>
  <c r="AJ88" i="1" s="1"/>
  <c r="AH103" i="3"/>
  <c r="AP105" i="3"/>
  <c r="AQ101" i="3" s="1"/>
  <c r="AY103" i="3"/>
  <c r="AP71" i="3"/>
  <c r="AT89" i="3"/>
  <c r="AN121" i="3"/>
  <c r="AZ89" i="3"/>
  <c r="AJ121" i="3"/>
  <c r="AL89" i="3"/>
  <c r="AG86" i="3"/>
  <c r="AG89" i="3" s="1"/>
  <c r="AR103" i="3"/>
  <c r="AV89" i="3"/>
  <c r="AH105" i="3"/>
  <c r="AI101" i="3" s="1"/>
  <c r="AQ103" i="3"/>
  <c r="AM121" i="3"/>
  <c r="AF121" i="3"/>
  <c r="AX105" i="3"/>
  <c r="AY101" i="3" s="1"/>
  <c r="AI71" i="3"/>
  <c r="AO89" i="3"/>
  <c r="AI118" i="3"/>
  <c r="AI121" i="3" s="1"/>
  <c r="AQ105" i="3"/>
  <c r="AQ14" i="3" s="1"/>
  <c r="AZ103" i="3"/>
  <c r="AZ40" i="3" s="1"/>
  <c r="AQ71" i="3"/>
  <c r="AR105" i="3"/>
  <c r="AS101" i="3" s="1"/>
  <c r="AF38" i="3"/>
  <c r="AF88" i="1" s="1"/>
  <c r="AN38" i="3"/>
  <c r="AN88" i="1" s="1"/>
  <c r="AR89" i="3"/>
  <c r="AX121" i="3"/>
  <c r="AJ89" i="3"/>
  <c r="AV38" i="3"/>
  <c r="AV88" i="1" s="1"/>
  <c r="AD89" i="3"/>
  <c r="AE86" i="3"/>
  <c r="AE89" i="3" s="1"/>
  <c r="AD121" i="3"/>
  <c r="BA69" i="3"/>
  <c r="AJ40" i="3" l="1"/>
  <c r="AJ87" i="1" s="1"/>
  <c r="AD40" i="3"/>
  <c r="AL40" i="3"/>
  <c r="AL87" i="1" s="1"/>
  <c r="AS72" i="3"/>
  <c r="AD72" i="3"/>
  <c r="AK40" i="3"/>
  <c r="AK87" i="1" s="1"/>
  <c r="AJ72" i="3"/>
  <c r="AK72" i="3"/>
  <c r="AR72" i="3"/>
  <c r="AL72" i="3"/>
  <c r="AR40" i="3"/>
  <c r="AR87" i="1" s="1"/>
  <c r="AO14" i="3"/>
  <c r="AS14" i="3"/>
  <c r="BA14" i="3"/>
  <c r="AO40" i="3"/>
  <c r="AO87" i="1" s="1"/>
  <c r="AM72" i="3"/>
  <c r="AY40" i="3"/>
  <c r="AG104" i="3"/>
  <c r="AV69" i="3"/>
  <c r="AV72" i="3" s="1"/>
  <c r="BA40" i="3"/>
  <c r="BA87" i="1" s="1"/>
  <c r="AF14" i="3"/>
  <c r="AU40" i="3"/>
  <c r="AU87" i="1" s="1"/>
  <c r="AM40" i="3"/>
  <c r="AM87" i="1" s="1"/>
  <c r="AL14" i="3"/>
  <c r="AQ40" i="3"/>
  <c r="AQ87" i="1" s="1"/>
  <c r="AW14" i="3"/>
  <c r="AX69" i="3"/>
  <c r="AX72" i="3" s="1"/>
  <c r="AI40" i="3"/>
  <c r="AI87" i="1" s="1"/>
  <c r="AG40" i="3"/>
  <c r="AK14" i="3"/>
  <c r="AE72" i="3"/>
  <c r="AL104" i="3"/>
  <c r="AE104" i="3"/>
  <c r="AE14" i="3"/>
  <c r="AE40" i="3"/>
  <c r="AE87" i="1" s="1"/>
  <c r="AM14" i="3"/>
  <c r="AF69" i="3"/>
  <c r="AF72" i="3" s="1"/>
  <c r="AW40" i="3"/>
  <c r="AW87" i="1" s="1"/>
  <c r="AW72" i="3"/>
  <c r="AI104" i="3"/>
  <c r="AI14" i="3"/>
  <c r="AG14" i="3"/>
  <c r="AP69" i="3"/>
  <c r="AP72" i="3" s="1"/>
  <c r="AF104" i="3"/>
  <c r="AT14" i="3"/>
  <c r="BA72" i="3"/>
  <c r="AD104" i="3"/>
  <c r="AD14" i="3"/>
  <c r="AT104" i="3"/>
  <c r="AT40" i="3"/>
  <c r="AT87" i="1" s="1"/>
  <c r="N38" i="3"/>
  <c r="AK104" i="3"/>
  <c r="AK42" i="3" s="1"/>
  <c r="AJ14" i="3"/>
  <c r="AU72" i="3"/>
  <c r="AF40" i="3"/>
  <c r="AF87" i="1" s="1"/>
  <c r="AI72" i="3"/>
  <c r="AO72" i="3"/>
  <c r="K38" i="3"/>
  <c r="AJ104" i="3"/>
  <c r="AJ42" i="3" s="1"/>
  <c r="AH69" i="3"/>
  <c r="AH72" i="3" s="1"/>
  <c r="AM104" i="3"/>
  <c r="AN40" i="3"/>
  <c r="AN87" i="1" s="1"/>
  <c r="AN14" i="3"/>
  <c r="L38" i="3"/>
  <c r="AN72" i="3"/>
  <c r="AU104" i="3"/>
  <c r="AV14" i="3"/>
  <c r="AO101" i="3"/>
  <c r="AO104" i="3" s="1"/>
  <c r="AY104" i="3"/>
  <c r="AY72" i="3"/>
  <c r="AZ69" i="3"/>
  <c r="AZ72" i="3" s="1"/>
  <c r="AT72" i="3"/>
  <c r="AX14" i="3"/>
  <c r="AP40" i="3"/>
  <c r="AP87" i="1" s="1"/>
  <c r="AX40" i="3"/>
  <c r="AX87" i="1" s="1"/>
  <c r="AV40" i="3"/>
  <c r="AV87" i="1" s="1"/>
  <c r="AN104" i="3"/>
  <c r="AQ72" i="3"/>
  <c r="N88" i="1"/>
  <c r="M38" i="3"/>
  <c r="AP14" i="3"/>
  <c r="BA101" i="3"/>
  <c r="BA104" i="3" s="1"/>
  <c r="AZ104" i="3"/>
  <c r="AG69" i="3"/>
  <c r="AG72" i="3" s="1"/>
  <c r="AP104" i="3"/>
  <c r="I38" i="3"/>
  <c r="AW101" i="3"/>
  <c r="AW104" i="3" s="1"/>
  <c r="J88" i="1"/>
  <c r="AQ104" i="3"/>
  <c r="AD88" i="1"/>
  <c r="I88" i="1" s="1"/>
  <c r="AR14" i="3"/>
  <c r="K88" i="1"/>
  <c r="AV104" i="3"/>
  <c r="L88" i="1"/>
  <c r="AH14" i="3"/>
  <c r="AR101" i="3"/>
  <c r="AR104" i="3" s="1"/>
  <c r="M88" i="1"/>
  <c r="AH40" i="3"/>
  <c r="AS104" i="3"/>
  <c r="J38" i="3"/>
  <c r="AX104" i="3"/>
  <c r="AH104" i="3"/>
  <c r="AS87" i="1"/>
  <c r="AZ87" i="1"/>
  <c r="AY87" i="1"/>
  <c r="AD87" i="1"/>
  <c r="AS42" i="3" l="1"/>
  <c r="AD42" i="3"/>
  <c r="AL42" i="3"/>
  <c r="AR42" i="3"/>
  <c r="AM42" i="3"/>
  <c r="AG42" i="3"/>
  <c r="AI42" i="3"/>
  <c r="J40" i="3"/>
  <c r="AT42" i="3"/>
  <c r="I40" i="3"/>
  <c r="AG87" i="1"/>
  <c r="I87" i="1" s="1"/>
  <c r="L40" i="3"/>
  <c r="AF42" i="3"/>
  <c r="AE42" i="3"/>
  <c r="BA42" i="3"/>
  <c r="AW42" i="3"/>
  <c r="K87" i="1"/>
  <c r="N40" i="3"/>
  <c r="M40" i="3"/>
  <c r="AH42" i="3"/>
  <c r="AX42" i="3"/>
  <c r="AV42" i="3"/>
  <c r="K40" i="3"/>
  <c r="AO42" i="3"/>
  <c r="AU42" i="3"/>
  <c r="AP42" i="3"/>
  <c r="AN42" i="3"/>
  <c r="AY42" i="3"/>
  <c r="AZ42" i="3"/>
  <c r="AQ42" i="3"/>
  <c r="AH87" i="1"/>
  <c r="J87" i="1" s="1"/>
  <c r="N87" i="1"/>
  <c r="L87" i="1"/>
  <c r="M87" i="1"/>
  <c r="J42" i="3" l="1"/>
  <c r="M42" i="3"/>
  <c r="N42" i="3"/>
  <c r="I42" i="3"/>
  <c r="L42" i="3"/>
  <c r="K42" i="3"/>
  <c r="AC33" i="3"/>
  <c r="AP89" i="14"/>
  <c r="AQ89" i="14"/>
  <c r="AR89" i="14"/>
  <c r="AS89" i="14"/>
  <c r="AT89" i="14"/>
  <c r="AU89" i="14"/>
  <c r="AV89" i="14"/>
  <c r="AW89" i="14"/>
  <c r="AX89" i="14"/>
  <c r="AY89" i="14"/>
  <c r="AZ89" i="14"/>
  <c r="BA89" i="14"/>
  <c r="N89" i="14" l="1"/>
  <c r="M89" i="14"/>
  <c r="L89" i="14"/>
  <c r="AC25" i="3"/>
  <c r="H33" i="3"/>
  <c r="Z102" i="14" l="1"/>
  <c r="Z101" i="14" s="1"/>
  <c r="AA102" i="14"/>
  <c r="AA101" i="14" s="1"/>
  <c r="AB102" i="14"/>
  <c r="AB101" i="14" s="1"/>
  <c r="AC102" i="14"/>
  <c r="AC101" i="14" s="1"/>
  <c r="V102" i="14"/>
  <c r="V101" i="14" s="1"/>
  <c r="W102" i="14"/>
  <c r="W101" i="14" s="1"/>
  <c r="X102" i="14"/>
  <c r="X101" i="14" s="1"/>
  <c r="Y102" i="14"/>
  <c r="Y101" i="14" s="1"/>
  <c r="X104" i="14" l="1"/>
  <c r="W104" i="14"/>
  <c r="AC104" i="14"/>
  <c r="AB104" i="14"/>
  <c r="AA104" i="14"/>
  <c r="Y104" i="14"/>
  <c r="V104" i="14"/>
  <c r="Z104" i="14"/>
  <c r="Y105" i="14" l="1"/>
  <c r="AA105" i="14"/>
  <c r="Z105" i="14"/>
  <c r="AB105" i="14"/>
  <c r="V105" i="14"/>
  <c r="W105" i="14"/>
  <c r="X105" i="14"/>
  <c r="AC105" i="14"/>
  <c r="G101" i="14"/>
  <c r="H101" i="14"/>
  <c r="AG74" i="15" l="1"/>
  <c r="AG50" i="15"/>
  <c r="AE74" i="15"/>
  <c r="AE50" i="15"/>
  <c r="AF74" i="15"/>
  <c r="AF50" i="15"/>
  <c r="AD74" i="15"/>
  <c r="AD50" i="15"/>
  <c r="AJ73" i="15"/>
  <c r="AK73" i="15"/>
  <c r="AI73" i="15"/>
  <c r="AH73" i="15"/>
  <c r="AI74" i="15" l="1"/>
  <c r="AI50" i="15"/>
  <c r="AK74" i="15"/>
  <c r="AK50" i="15"/>
  <c r="AJ74" i="15"/>
  <c r="AJ50" i="15"/>
  <c r="AH74" i="15"/>
  <c r="AH50" i="15"/>
  <c r="AL73" i="15"/>
  <c r="AM73" i="15"/>
  <c r="AO73" i="15"/>
  <c r="AN73" i="15"/>
  <c r="AO74" i="15" l="1"/>
  <c r="AO50" i="15"/>
  <c r="AM74" i="15"/>
  <c r="AM50" i="15"/>
  <c r="AL74" i="15"/>
  <c r="AL50" i="15"/>
  <c r="AN74" i="15"/>
  <c r="AN50" i="15"/>
  <c r="AR73" i="15"/>
  <c r="AS73" i="15"/>
  <c r="AQ73" i="15"/>
  <c r="AP73" i="15"/>
  <c r="AP74" i="15" l="1"/>
  <c r="AP50" i="15"/>
  <c r="AS74" i="15"/>
  <c r="AS50" i="15"/>
  <c r="AQ74" i="15"/>
  <c r="AQ50" i="15"/>
  <c r="AR74" i="15"/>
  <c r="AR50" i="15"/>
  <c r="AT73" i="15"/>
  <c r="AU73" i="15"/>
  <c r="AW73" i="15"/>
  <c r="AV73" i="15"/>
  <c r="AW74" i="15" l="1"/>
  <c r="AW50" i="15"/>
  <c r="AU74" i="15"/>
  <c r="AU50" i="15"/>
  <c r="AV74" i="15"/>
  <c r="AV50" i="15"/>
  <c r="AT74" i="15"/>
  <c r="AT50" i="15"/>
  <c r="BA73" i="15"/>
  <c r="AZ73" i="15"/>
  <c r="AY73" i="15"/>
  <c r="AX73" i="15"/>
  <c r="V63" i="15"/>
  <c r="V62" i="15" s="1"/>
  <c r="V44" i="15" s="1"/>
  <c r="W63" i="15"/>
  <c r="W62" i="15" s="1"/>
  <c r="W44" i="15" s="1"/>
  <c r="X63" i="15"/>
  <c r="X62" i="15" s="1"/>
  <c r="X44" i="15" s="1"/>
  <c r="Y63" i="15"/>
  <c r="Y62" i="15" s="1"/>
  <c r="Y44" i="15" s="1"/>
  <c r="W66" i="15" l="1"/>
  <c r="W65" i="15" s="1"/>
  <c r="G44" i="15"/>
  <c r="X66" i="15"/>
  <c r="X65" i="15" s="1"/>
  <c r="Y66" i="15"/>
  <c r="Y65" i="15" s="1"/>
  <c r="AX74" i="15"/>
  <c r="AX50" i="15"/>
  <c r="AY74" i="15"/>
  <c r="AY50" i="15"/>
  <c r="AZ74" i="15"/>
  <c r="AZ50" i="15"/>
  <c r="BA74" i="15"/>
  <c r="BA50" i="15"/>
  <c r="Y68" i="15"/>
  <c r="X68" i="15"/>
  <c r="W68" i="15"/>
  <c r="V66" i="15"/>
  <c r="V65" i="15" s="1"/>
  <c r="V68" i="15"/>
  <c r="Z63" i="15" l="1"/>
  <c r="Z62" i="15" s="1"/>
  <c r="Z44" i="15" s="1"/>
  <c r="AA63" i="15"/>
  <c r="AA62" i="15" s="1"/>
  <c r="AA44" i="15" s="1"/>
  <c r="AB63" i="15"/>
  <c r="AB62" i="15" s="1"/>
  <c r="AB44" i="15" s="1"/>
  <c r="AC63" i="15"/>
  <c r="AC62" i="15" s="1"/>
  <c r="AC44" i="15" s="1"/>
  <c r="AB66" i="15" l="1"/>
  <c r="AB65" i="15" s="1"/>
  <c r="AA66" i="15"/>
  <c r="AA65" i="15" s="1"/>
  <c r="Z66" i="15"/>
  <c r="Z65" i="15" s="1"/>
  <c r="AC66" i="15"/>
  <c r="AC65" i="15" s="1"/>
  <c r="AB68" i="15"/>
  <c r="Z68" i="15"/>
  <c r="AC68" i="15"/>
  <c r="AA68" i="15"/>
  <c r="H44" i="15" l="1"/>
  <c r="J128" i="1"/>
  <c r="J125" i="1"/>
  <c r="H65" i="12"/>
  <c r="H70" i="12" s="1"/>
  <c r="AD36" i="16"/>
  <c r="AE36" i="16"/>
  <c r="AF36" i="16"/>
  <c r="AG36" i="16"/>
  <c r="AD39" i="16" l="1"/>
  <c r="AG39" i="16"/>
  <c r="AF39" i="16"/>
  <c r="AE39" i="16"/>
  <c r="I36" i="16"/>
  <c r="AG31" i="26" l="1"/>
  <c r="AD31" i="26"/>
  <c r="AF31" i="26"/>
  <c r="AK31" i="26" l="1"/>
  <c r="AE31" i="26"/>
  <c r="AJ31" i="26" l="1"/>
  <c r="AO31" i="26"/>
  <c r="AI31" i="26"/>
  <c r="AH31" i="26"/>
  <c r="J131" i="9" l="1"/>
  <c r="AQ31" i="26"/>
  <c r="AM31" i="26"/>
  <c r="AS31" i="26"/>
  <c r="AN31" i="26"/>
  <c r="AL31" i="26"/>
  <c r="AV31" i="26"/>
  <c r="K36" i="12"/>
  <c r="S49" i="12" s="1"/>
  <c r="J37" i="12"/>
  <c r="K37" i="12"/>
  <c r="H50" i="12" s="1"/>
  <c r="J38" i="12"/>
  <c r="K38" i="12"/>
  <c r="J51" i="12" s="1"/>
  <c r="J39" i="12"/>
  <c r="K39" i="12"/>
  <c r="N52" i="12" s="1"/>
  <c r="J40" i="12"/>
  <c r="K40" i="12"/>
  <c r="K53" i="12" s="1"/>
  <c r="J41" i="12"/>
  <c r="K41" i="12"/>
  <c r="H54" i="12" s="1"/>
  <c r="J42" i="12"/>
  <c r="K42" i="12"/>
  <c r="L55" i="12" s="1"/>
  <c r="I43" i="12"/>
  <c r="K43" i="12" s="1"/>
  <c r="K44" i="12"/>
  <c r="K49" i="12"/>
  <c r="AP102" i="14" s="1"/>
  <c r="AP101" i="14" s="1"/>
  <c r="M49" i="12"/>
  <c r="H51" i="12"/>
  <c r="AF91" i="14" s="1"/>
  <c r="I51" i="12"/>
  <c r="AK91" i="14" s="1"/>
  <c r="AK89" i="14" s="1"/>
  <c r="L52" i="12"/>
  <c r="AU49" i="13" s="1"/>
  <c r="Q53" i="12"/>
  <c r="Q62" i="12" s="1"/>
  <c r="Q67" i="12" s="1"/>
  <c r="V56" i="12"/>
  <c r="V65" i="12" s="1"/>
  <c r="V70" i="12" s="1"/>
  <c r="AD91" i="14"/>
  <c r="AJ91" i="14"/>
  <c r="AJ89" i="14" s="1"/>
  <c r="AX102" i="14"/>
  <c r="AX101" i="14" s="1"/>
  <c r="AY102" i="14"/>
  <c r="AY101" i="14" s="1"/>
  <c r="AZ102" i="14"/>
  <c r="AZ101" i="14" s="1"/>
  <c r="BA102" i="14"/>
  <c r="BA101" i="14" s="1"/>
  <c r="S55" i="12" l="1"/>
  <c r="S64" i="12" s="1"/>
  <c r="S69" i="12" s="1"/>
  <c r="K131" i="9"/>
  <c r="AU31" i="26"/>
  <c r="AP31" i="26"/>
  <c r="AT31" i="26"/>
  <c r="AW31" i="26"/>
  <c r="AR31" i="26"/>
  <c r="AQ50" i="13"/>
  <c r="AR50" i="13"/>
  <c r="AE90" i="14"/>
  <c r="AD90" i="14"/>
  <c r="AI91" i="14"/>
  <c r="AI89" i="14" s="1"/>
  <c r="AR102" i="14"/>
  <c r="AR101" i="14" s="1"/>
  <c r="AR86" i="14" s="1"/>
  <c r="AH91" i="14"/>
  <c r="AH89" i="14" s="1"/>
  <c r="AT49" i="13"/>
  <c r="AS102" i="14"/>
  <c r="AS101" i="14" s="1"/>
  <c r="AS86" i="14" s="1"/>
  <c r="AO91" i="14"/>
  <c r="AO89" i="14" s="1"/>
  <c r="AL91" i="14"/>
  <c r="AL89" i="14" s="1"/>
  <c r="AM91" i="14"/>
  <c r="AM89" i="14" s="1"/>
  <c r="AN91" i="14"/>
  <c r="AN89" i="14" s="1"/>
  <c r="E54" i="12"/>
  <c r="AD51" i="13"/>
  <c r="AQ102" i="14"/>
  <c r="AQ101" i="14" s="1"/>
  <c r="AQ59" i="14" s="1"/>
  <c r="AP50" i="13"/>
  <c r="AE91" i="14"/>
  <c r="AS50" i="13"/>
  <c r="P55" i="12"/>
  <c r="P64" i="12" s="1"/>
  <c r="P69" i="12" s="1"/>
  <c r="AG91" i="14"/>
  <c r="AG90" i="14"/>
  <c r="AG51" i="13"/>
  <c r="AW49" i="13"/>
  <c r="E51" i="12"/>
  <c r="AF90" i="14"/>
  <c r="AF89" i="14" s="1"/>
  <c r="AF51" i="13"/>
  <c r="AV49" i="13"/>
  <c r="AE51" i="13"/>
  <c r="K55" i="12"/>
  <c r="AQ63" i="15" s="1"/>
  <c r="AQ62" i="15" s="1"/>
  <c r="AQ44" i="15" s="1"/>
  <c r="H55" i="12"/>
  <c r="AE63" i="15" s="1"/>
  <c r="AE62" i="15" s="1"/>
  <c r="AE48" i="15" s="1"/>
  <c r="AU63" i="15"/>
  <c r="AU62" i="15" s="1"/>
  <c r="AU44" i="15" s="1"/>
  <c r="AT63" i="15"/>
  <c r="AT62" i="15" s="1"/>
  <c r="AT44" i="15" s="1"/>
  <c r="AV63" i="15"/>
  <c r="AV62" i="15" s="1"/>
  <c r="AV48" i="15" s="1"/>
  <c r="AW63" i="15"/>
  <c r="AW62" i="15" s="1"/>
  <c r="AW44" i="15" s="1"/>
  <c r="L64" i="12"/>
  <c r="L69" i="12" s="1"/>
  <c r="R55" i="12"/>
  <c r="R64" i="12" s="1"/>
  <c r="R69" i="12" s="1"/>
  <c r="J55" i="12"/>
  <c r="J46" i="12" s="1"/>
  <c r="J43" i="12"/>
  <c r="Q55" i="12"/>
  <c r="Q64" i="12" s="1"/>
  <c r="Q69" i="12" s="1"/>
  <c r="I55" i="12"/>
  <c r="O55" i="12"/>
  <c r="O64" i="12" s="1"/>
  <c r="O69" i="12" s="1"/>
  <c r="AD63" i="15"/>
  <c r="AD62" i="15" s="1"/>
  <c r="AD48" i="15" s="1"/>
  <c r="N55" i="12"/>
  <c r="N64" i="12" s="1"/>
  <c r="N69" i="12" s="1"/>
  <c r="U55" i="12"/>
  <c r="U64" i="12" s="1"/>
  <c r="U69" i="12" s="1"/>
  <c r="M55" i="12"/>
  <c r="AS63" i="15"/>
  <c r="AS62" i="15" s="1"/>
  <c r="AS44" i="15" s="1"/>
  <c r="T55" i="12"/>
  <c r="T64" i="12" s="1"/>
  <c r="T69" i="12" s="1"/>
  <c r="AP86" i="14"/>
  <c r="AP59" i="14"/>
  <c r="BA59" i="14"/>
  <c r="BA86" i="14"/>
  <c r="AZ59" i="14"/>
  <c r="AZ86" i="14"/>
  <c r="AY59" i="14"/>
  <c r="AY86" i="14"/>
  <c r="AX86" i="14"/>
  <c r="AX59" i="14"/>
  <c r="N101" i="14"/>
  <c r="E50" i="12"/>
  <c r="L53" i="12"/>
  <c r="L62" i="12" s="1"/>
  <c r="L67" i="12" s="1"/>
  <c r="M53" i="12"/>
  <c r="N53" i="12"/>
  <c r="N62" i="12" s="1"/>
  <c r="N67" i="12" s="1"/>
  <c r="O53" i="12"/>
  <c r="H53" i="12"/>
  <c r="P53" i="12"/>
  <c r="P62" i="12" s="1"/>
  <c r="P67" i="12" s="1"/>
  <c r="J53" i="12"/>
  <c r="N49" i="12"/>
  <c r="V49" i="12"/>
  <c r="O49" i="12"/>
  <c r="W49" i="12"/>
  <c r="H49" i="12"/>
  <c r="P49" i="12"/>
  <c r="X49" i="12"/>
  <c r="I49" i="12"/>
  <c r="Q49" i="12"/>
  <c r="Y49" i="12"/>
  <c r="J49" i="12"/>
  <c r="R49" i="12"/>
  <c r="L49" i="12"/>
  <c r="T49" i="12"/>
  <c r="I53" i="12"/>
  <c r="AM63" i="15"/>
  <c r="AM62" i="15" s="1"/>
  <c r="U49" i="12"/>
  <c r="O52" i="12"/>
  <c r="H52" i="12"/>
  <c r="I52" i="12"/>
  <c r="J52" i="12"/>
  <c r="K52" i="12"/>
  <c r="M52" i="12"/>
  <c r="S63" i="12"/>
  <c r="S68" i="12" s="1"/>
  <c r="O56" i="12"/>
  <c r="O65" i="12" s="1"/>
  <c r="O70" i="12" s="1"/>
  <c r="W56" i="12"/>
  <c r="W65" i="12" s="1"/>
  <c r="W70" i="12" s="1"/>
  <c r="P56" i="12"/>
  <c r="P65" i="12" s="1"/>
  <c r="P70" i="12" s="1"/>
  <c r="X56" i="12"/>
  <c r="X65" i="12" s="1"/>
  <c r="X70" i="12" s="1"/>
  <c r="I56" i="12"/>
  <c r="Q56" i="12"/>
  <c r="Q65" i="12" s="1"/>
  <c r="Q70" i="12" s="1"/>
  <c r="Y56" i="12"/>
  <c r="Y65" i="12" s="1"/>
  <c r="Y70" i="12" s="1"/>
  <c r="J56" i="12"/>
  <c r="R56" i="12"/>
  <c r="R65" i="12" s="1"/>
  <c r="R70" i="12" s="1"/>
  <c r="Z56" i="12"/>
  <c r="K56" i="12"/>
  <c r="S56" i="12"/>
  <c r="S65" i="12" s="1"/>
  <c r="S70" i="12" s="1"/>
  <c r="AA56" i="12"/>
  <c r="M56" i="12"/>
  <c r="U56" i="12"/>
  <c r="U65" i="12" s="1"/>
  <c r="U70" i="12" s="1"/>
  <c r="T56" i="12"/>
  <c r="T65" i="12" s="1"/>
  <c r="T70" i="12" s="1"/>
  <c r="M63" i="12"/>
  <c r="M68" i="12" s="1"/>
  <c r="N56" i="12"/>
  <c r="N65" i="12" s="1"/>
  <c r="N70" i="12" s="1"/>
  <c r="K63" i="12"/>
  <c r="K68" i="12" s="1"/>
  <c r="L56" i="12"/>
  <c r="AR59" i="14" l="1"/>
  <c r="M131" i="9"/>
  <c r="L131" i="9"/>
  <c r="BA31" i="26"/>
  <c r="AX31" i="26"/>
  <c r="AS59" i="14"/>
  <c r="J89" i="14"/>
  <c r="AE89" i="14"/>
  <c r="AQ86" i="14"/>
  <c r="L101" i="14"/>
  <c r="AD89" i="14"/>
  <c r="K89" i="14"/>
  <c r="K57" i="12"/>
  <c r="J64" i="12"/>
  <c r="J69" i="12" s="1"/>
  <c r="H64" i="12"/>
  <c r="H69" i="12" s="1"/>
  <c r="AG63" i="15"/>
  <c r="AG62" i="15" s="1"/>
  <c r="AG44" i="15" s="1"/>
  <c r="AP63" i="15"/>
  <c r="AP62" i="15" s="1"/>
  <c r="AP44" i="15" s="1"/>
  <c r="K64" i="12"/>
  <c r="K69" i="12" s="1"/>
  <c r="AV44" i="15"/>
  <c r="M44" i="15" s="1"/>
  <c r="AG89" i="14"/>
  <c r="M57" i="12"/>
  <c r="AT48" i="15"/>
  <c r="AT47" i="15" s="1"/>
  <c r="AD44" i="15"/>
  <c r="AW48" i="15"/>
  <c r="AU48" i="15"/>
  <c r="AU31" i="15" s="1"/>
  <c r="K46" i="12"/>
  <c r="AR63" i="15"/>
  <c r="AR62" i="15" s="1"/>
  <c r="AE44" i="15"/>
  <c r="H46" i="12"/>
  <c r="AF63" i="15"/>
  <c r="AF62" i="15" s="1"/>
  <c r="AL63" i="15"/>
  <c r="AL62" i="15" s="1"/>
  <c r="AN63" i="15"/>
  <c r="AN62" i="15" s="1"/>
  <c r="AO63" i="15"/>
  <c r="AO62" i="15" s="1"/>
  <c r="AQ48" i="15"/>
  <c r="S57" i="12"/>
  <c r="AS48" i="15"/>
  <c r="AS47" i="15" s="1"/>
  <c r="AS54" i="15" s="1"/>
  <c r="M64" i="12"/>
  <c r="M69" i="12" s="1"/>
  <c r="AX63" i="15"/>
  <c r="AX62" i="15" s="1"/>
  <c r="AY63" i="15"/>
  <c r="AY62" i="15" s="1"/>
  <c r="BA63" i="15"/>
  <c r="BA62" i="15" s="1"/>
  <c r="AZ63" i="15"/>
  <c r="AZ62" i="15" s="1"/>
  <c r="I46" i="12"/>
  <c r="AJ63" i="15"/>
  <c r="AJ62" i="15" s="1"/>
  <c r="AK63" i="15"/>
  <c r="AK62" i="15" s="1"/>
  <c r="I64" i="12"/>
  <c r="I69" i="12" s="1"/>
  <c r="AI63" i="15"/>
  <c r="AI62" i="15" s="1"/>
  <c r="AH63" i="15"/>
  <c r="AH62" i="15" s="1"/>
  <c r="E55" i="12"/>
  <c r="N59" i="14"/>
  <c r="AH50" i="13"/>
  <c r="AI50" i="13"/>
  <c r="AJ50" i="13"/>
  <c r="AK50" i="13"/>
  <c r="K62" i="12"/>
  <c r="K67" i="12" s="1"/>
  <c r="AR49" i="13"/>
  <c r="AR48" i="13" s="1"/>
  <c r="AP49" i="13"/>
  <c r="AP48" i="13" s="1"/>
  <c r="AQ49" i="13"/>
  <c r="AQ48" i="13" s="1"/>
  <c r="AS49" i="13"/>
  <c r="AS48" i="13" s="1"/>
  <c r="X57" i="12"/>
  <c r="X63" i="12"/>
  <c r="X68" i="12" s="1"/>
  <c r="AV31" i="15"/>
  <c r="AV47" i="15"/>
  <c r="AV54" i="15" s="1"/>
  <c r="M65" i="12"/>
  <c r="M70" i="12" s="1"/>
  <c r="AY36" i="16"/>
  <c r="AX36" i="16"/>
  <c r="AZ36" i="16"/>
  <c r="BA36" i="16"/>
  <c r="J62" i="12"/>
  <c r="J67" i="12" s="1"/>
  <c r="AL49" i="13"/>
  <c r="AN49" i="13"/>
  <c r="AM49" i="13"/>
  <c r="AO49" i="13"/>
  <c r="T57" i="12"/>
  <c r="T63" i="12"/>
  <c r="T68" i="12" s="1"/>
  <c r="P57" i="12"/>
  <c r="P63" i="12"/>
  <c r="P68" i="12" s="1"/>
  <c r="E53" i="12"/>
  <c r="AG50" i="13"/>
  <c r="AD50" i="13"/>
  <c r="AE50" i="13"/>
  <c r="AF50" i="13"/>
  <c r="AE31" i="15"/>
  <c r="AE47" i="15"/>
  <c r="AE54" i="15" s="1"/>
  <c r="E49" i="12"/>
  <c r="H57" i="12"/>
  <c r="H63" i="12"/>
  <c r="H68" i="12" s="1"/>
  <c r="AE102" i="14"/>
  <c r="AE101" i="14" s="1"/>
  <c r="AF102" i="14"/>
  <c r="AF101" i="14" s="1"/>
  <c r="AG102" i="14"/>
  <c r="AG101" i="14" s="1"/>
  <c r="AD102" i="14"/>
  <c r="AD101" i="14" s="1"/>
  <c r="N57" i="12"/>
  <c r="N63" i="12"/>
  <c r="N68" i="12" s="1"/>
  <c r="AD47" i="15"/>
  <c r="AD31" i="15"/>
  <c r="E56" i="12"/>
  <c r="I65" i="12"/>
  <c r="I70" i="12" s="1"/>
  <c r="AI36" i="16"/>
  <c r="AJ36" i="16"/>
  <c r="AH36" i="16"/>
  <c r="AK36" i="16"/>
  <c r="H62" i="12"/>
  <c r="H67" i="12" s="1"/>
  <c r="E52" i="12"/>
  <c r="AD49" i="13"/>
  <c r="AF49" i="13"/>
  <c r="AE49" i="13"/>
  <c r="AG49" i="13"/>
  <c r="AG48" i="13" s="1"/>
  <c r="R57" i="12"/>
  <c r="R63" i="12"/>
  <c r="R68" i="12" s="1"/>
  <c r="W63" i="12"/>
  <c r="W68" i="12" s="1"/>
  <c r="W57" i="12"/>
  <c r="AA57" i="12"/>
  <c r="AA65" i="12"/>
  <c r="AA70" i="12" s="1"/>
  <c r="L57" i="12"/>
  <c r="L63" i="12"/>
  <c r="L68" i="12" s="1"/>
  <c r="AU102" i="14"/>
  <c r="AU101" i="14" s="1"/>
  <c r="AV102" i="14"/>
  <c r="AV101" i="14" s="1"/>
  <c r="AW102" i="14"/>
  <c r="AW101" i="14" s="1"/>
  <c r="AT102" i="14"/>
  <c r="AT101" i="14" s="1"/>
  <c r="K65" i="12"/>
  <c r="K70" i="12" s="1"/>
  <c r="AQ36" i="16"/>
  <c r="AR36" i="16"/>
  <c r="AP36" i="16"/>
  <c r="AS36" i="16"/>
  <c r="O62" i="12"/>
  <c r="O67" i="12" s="1"/>
  <c r="J57" i="12"/>
  <c r="J63" i="12"/>
  <c r="J68" i="12" s="1"/>
  <c r="AM102" i="14"/>
  <c r="AM101" i="14" s="1"/>
  <c r="AN102" i="14"/>
  <c r="AN101" i="14" s="1"/>
  <c r="AO102" i="14"/>
  <c r="AO101" i="14" s="1"/>
  <c r="AL102" i="14"/>
  <c r="AL101" i="14" s="1"/>
  <c r="O63" i="12"/>
  <c r="O68" i="12" s="1"/>
  <c r="O57" i="12"/>
  <c r="AX50" i="13"/>
  <c r="AY50" i="13"/>
  <c r="AZ50" i="13"/>
  <c r="BA50" i="13"/>
  <c r="I62" i="12"/>
  <c r="I67" i="12" s="1"/>
  <c r="AJ49" i="13"/>
  <c r="AK49" i="13"/>
  <c r="AH49" i="13"/>
  <c r="AH48" i="13" s="1"/>
  <c r="AI49" i="13"/>
  <c r="AI48" i="13" s="1"/>
  <c r="L65" i="12"/>
  <c r="L70" i="12" s="1"/>
  <c r="AU36" i="16"/>
  <c r="AV36" i="16"/>
  <c r="AT36" i="16"/>
  <c r="AW36" i="16"/>
  <c r="Z57" i="12"/>
  <c r="Z65" i="12"/>
  <c r="Z70" i="12" s="1"/>
  <c r="U57" i="12"/>
  <c r="U63" i="12"/>
  <c r="U68" i="12" s="1"/>
  <c r="Y63" i="12"/>
  <c r="Y68" i="12" s="1"/>
  <c r="Y57" i="12"/>
  <c r="V57" i="12"/>
  <c r="V63" i="12"/>
  <c r="V68" i="12" s="1"/>
  <c r="AW50" i="13"/>
  <c r="AW48" i="13" s="1"/>
  <c r="AT50" i="13"/>
  <c r="AT48" i="13" s="1"/>
  <c r="AU50" i="13"/>
  <c r="AU48" i="13" s="1"/>
  <c r="AV50" i="13"/>
  <c r="AV48" i="13" s="1"/>
  <c r="Q63" i="12"/>
  <c r="Q68" i="12" s="1"/>
  <c r="Q57" i="12"/>
  <c r="N86" i="14"/>
  <c r="J65" i="12"/>
  <c r="J70" i="12" s="1"/>
  <c r="AM36" i="16"/>
  <c r="AN36" i="16"/>
  <c r="AL36" i="16"/>
  <c r="AO36" i="16"/>
  <c r="M62" i="12"/>
  <c r="M67" i="12" s="1"/>
  <c r="AZ49" i="13"/>
  <c r="AZ48" i="13" s="1"/>
  <c r="AX49" i="13"/>
  <c r="AX48" i="13" s="1"/>
  <c r="AY49" i="13"/>
  <c r="AY48" i="13" s="1"/>
  <c r="BA49" i="13"/>
  <c r="AM48" i="15"/>
  <c r="AM44" i="15"/>
  <c r="I63" i="12"/>
  <c r="I68" i="12" s="1"/>
  <c r="I57" i="12"/>
  <c r="AH102" i="14"/>
  <c r="AH101" i="14" s="1"/>
  <c r="AI102" i="14"/>
  <c r="AI101" i="14" s="1"/>
  <c r="AJ102" i="14"/>
  <c r="AJ101" i="14" s="1"/>
  <c r="AK102" i="14"/>
  <c r="AK101" i="14" s="1"/>
  <c r="AO50" i="13"/>
  <c r="AL50" i="13"/>
  <c r="AM50" i="13"/>
  <c r="AN50" i="13"/>
  <c r="AJ48" i="13" l="1"/>
  <c r="AE48" i="13"/>
  <c r="AW47" i="15"/>
  <c r="AW54" i="15" s="1"/>
  <c r="AW58" i="15" s="1"/>
  <c r="L59" i="14"/>
  <c r="AZ31" i="26"/>
  <c r="AY31" i="26"/>
  <c r="L86" i="14"/>
  <c r="AP48" i="15"/>
  <c r="AP47" i="15" s="1"/>
  <c r="AP54" i="15" s="1"/>
  <c r="AG48" i="15"/>
  <c r="AG47" i="15" s="1"/>
  <c r="AG54" i="15" s="1"/>
  <c r="AG58" i="15" s="1"/>
  <c r="AK48" i="13"/>
  <c r="AT31" i="15"/>
  <c r="AT98" i="9" s="1"/>
  <c r="I89" i="14"/>
  <c r="AS31" i="15"/>
  <c r="AS98" i="9" s="1"/>
  <c r="AW31" i="15"/>
  <c r="AW30" i="15" s="1"/>
  <c r="AU47" i="15"/>
  <c r="AU54" i="15" s="1"/>
  <c r="AU58" i="15" s="1"/>
  <c r="M48" i="15"/>
  <c r="AR44" i="15"/>
  <c r="L44" i="15" s="1"/>
  <c r="AR48" i="15"/>
  <c r="AF48" i="15"/>
  <c r="AF44" i="15"/>
  <c r="I44" i="15" s="1"/>
  <c r="AK44" i="15"/>
  <c r="AK48" i="15"/>
  <c r="AI44" i="15"/>
  <c r="AI48" i="15"/>
  <c r="AJ48" i="15"/>
  <c r="AJ44" i="15"/>
  <c r="AQ31" i="15"/>
  <c r="AQ47" i="15"/>
  <c r="AQ54" i="15" s="1"/>
  <c r="AZ44" i="15"/>
  <c r="AZ29" i="1" s="1"/>
  <c r="AZ48" i="15"/>
  <c r="AO48" i="15"/>
  <c r="AO44" i="15"/>
  <c r="AX44" i="15"/>
  <c r="AX29" i="1" s="1"/>
  <c r="AX48" i="15"/>
  <c r="BA44" i="15"/>
  <c r="BA48" i="15"/>
  <c r="AN48" i="15"/>
  <c r="AN44" i="15"/>
  <c r="AH44" i="15"/>
  <c r="AH48" i="15"/>
  <c r="AY44" i="15"/>
  <c r="AY29" i="1" s="1"/>
  <c r="AY48" i="15"/>
  <c r="AL48" i="15"/>
  <c r="AL44" i="15"/>
  <c r="AD30" i="15"/>
  <c r="AD98" i="9"/>
  <c r="AP29" i="1"/>
  <c r="L48" i="13"/>
  <c r="AU59" i="14"/>
  <c r="AU29" i="1" s="1"/>
  <c r="AU86" i="14"/>
  <c r="AT54" i="15"/>
  <c r="AN48" i="13"/>
  <c r="M36" i="16"/>
  <c r="AE86" i="14"/>
  <c r="AE59" i="14"/>
  <c r="AE29" i="1" s="1"/>
  <c r="K101" i="14"/>
  <c r="AL86" i="14"/>
  <c r="AL59" i="14"/>
  <c r="AF48" i="13"/>
  <c r="AK39" i="16"/>
  <c r="AL39" i="16" s="1"/>
  <c r="AM39" i="16" s="1"/>
  <c r="AN39" i="16" s="1"/>
  <c r="AO39" i="16" s="1"/>
  <c r="AP39" i="16" s="1"/>
  <c r="AQ39" i="16" s="1"/>
  <c r="AR39" i="16" s="1"/>
  <c r="AS39" i="16" s="1"/>
  <c r="AT39" i="16" s="1"/>
  <c r="AU39" i="16" s="1"/>
  <c r="AV39" i="16" s="1"/>
  <c r="AW39" i="16" s="1"/>
  <c r="AX39" i="16" s="1"/>
  <c r="AY39" i="16" s="1"/>
  <c r="AZ39" i="16" s="1"/>
  <c r="BA39" i="16" s="1"/>
  <c r="BA11" i="16" s="1"/>
  <c r="AD54" i="15"/>
  <c r="H60" i="12"/>
  <c r="E57" i="12"/>
  <c r="H44" i="12"/>
  <c r="AL48" i="13"/>
  <c r="N36" i="16"/>
  <c r="AK86" i="14"/>
  <c r="AK59" i="14"/>
  <c r="K36" i="16"/>
  <c r="M48" i="13"/>
  <c r="AO86" i="14"/>
  <c r="AO59" i="14"/>
  <c r="AD48" i="13"/>
  <c r="J36" i="16"/>
  <c r="AH39" i="16"/>
  <c r="AU30" i="15"/>
  <c r="AU98" i="9"/>
  <c r="AV59" i="14"/>
  <c r="AV29" i="1" s="1"/>
  <c r="AV86" i="14"/>
  <c r="AJ86" i="14"/>
  <c r="AJ59" i="14"/>
  <c r="AN86" i="14"/>
  <c r="AN59" i="14"/>
  <c r="AJ39" i="16"/>
  <c r="AE55" i="15"/>
  <c r="AE58" i="15"/>
  <c r="AM48" i="13"/>
  <c r="AM31" i="15"/>
  <c r="AM47" i="15"/>
  <c r="AM54" i="15" s="1"/>
  <c r="L36" i="16"/>
  <c r="AI86" i="14"/>
  <c r="AI59" i="14"/>
  <c r="BA48" i="13"/>
  <c r="AM86" i="14"/>
  <c r="AM59" i="14"/>
  <c r="AI39" i="16"/>
  <c r="I101" i="14"/>
  <c r="AD86" i="14"/>
  <c r="AD59" i="14"/>
  <c r="AE30" i="15"/>
  <c r="AE98" i="9"/>
  <c r="AV58" i="15"/>
  <c r="AV55" i="15"/>
  <c r="J48" i="13"/>
  <c r="AS58" i="15"/>
  <c r="AS55" i="15"/>
  <c r="AH86" i="14"/>
  <c r="J101" i="14"/>
  <c r="AH59" i="14"/>
  <c r="AT59" i="14"/>
  <c r="AT29" i="1" s="1"/>
  <c r="AT86" i="14"/>
  <c r="M101" i="14"/>
  <c r="AG86" i="14"/>
  <c r="AG59" i="14"/>
  <c r="AG29" i="1" s="1"/>
  <c r="AV30" i="15"/>
  <c r="AV98" i="9"/>
  <c r="AS29" i="1"/>
  <c r="N48" i="13"/>
  <c r="AW59" i="14"/>
  <c r="AW29" i="1" s="1"/>
  <c r="AW86" i="14"/>
  <c r="AF86" i="14"/>
  <c r="AF59" i="14"/>
  <c r="AO48" i="13"/>
  <c r="AQ29" i="1"/>
  <c r="AN11" i="16" l="1"/>
  <c r="AP31" i="15"/>
  <c r="AP30" i="15" s="1"/>
  <c r="AW55" i="15"/>
  <c r="K47" i="12"/>
  <c r="AU55" i="15"/>
  <c r="M54" i="15"/>
  <c r="M55" i="15" s="1"/>
  <c r="AG55" i="15"/>
  <c r="AT30" i="15"/>
  <c r="M30" i="15" s="1"/>
  <c r="AG31" i="15"/>
  <c r="AW11" i="16"/>
  <c r="AS30" i="15"/>
  <c r="AW98" i="9"/>
  <c r="AW77" i="20" s="1"/>
  <c r="M31" i="15"/>
  <c r="L22" i="12" s="1"/>
  <c r="AH29" i="1"/>
  <c r="AI29" i="1"/>
  <c r="M47" i="15"/>
  <c r="AK29" i="1"/>
  <c r="AJ29" i="1"/>
  <c r="AR29" i="1"/>
  <c r="L29" i="1" s="1"/>
  <c r="J44" i="15"/>
  <c r="K44" i="15"/>
  <c r="AP11" i="16"/>
  <c r="AP26" i="20" s="1"/>
  <c r="AR47" i="15"/>
  <c r="L48" i="15"/>
  <c r="AR31" i="15"/>
  <c r="N44" i="15"/>
  <c r="I48" i="15"/>
  <c r="AF31" i="15"/>
  <c r="AF47" i="15"/>
  <c r="AQ11" i="16"/>
  <c r="AQ26" i="20" s="1"/>
  <c r="AR11" i="16"/>
  <c r="AZ11" i="16"/>
  <c r="AZ22" i="9" s="1"/>
  <c r="AY31" i="15"/>
  <c r="AY47" i="15"/>
  <c r="AY54" i="15" s="1"/>
  <c r="AX31" i="15"/>
  <c r="N48" i="15"/>
  <c r="AX47" i="15"/>
  <c r="AM11" i="16"/>
  <c r="AJ31" i="15"/>
  <c r="AJ47" i="15"/>
  <c r="AJ54" i="15" s="1"/>
  <c r="AX11" i="16"/>
  <c r="J48" i="15"/>
  <c r="AH31" i="15"/>
  <c r="AH47" i="15"/>
  <c r="AI31" i="15"/>
  <c r="AI47" i="15"/>
  <c r="AI54" i="15" s="1"/>
  <c r="AO31" i="15"/>
  <c r="AO47" i="15"/>
  <c r="AO54" i="15" s="1"/>
  <c r="AZ47" i="15"/>
  <c r="AZ54" i="15" s="1"/>
  <c r="AZ31" i="15"/>
  <c r="AK47" i="15"/>
  <c r="AK54" i="15" s="1"/>
  <c r="AK31" i="15"/>
  <c r="AN31" i="15"/>
  <c r="AN47" i="15"/>
  <c r="AN54" i="15" s="1"/>
  <c r="BA47" i="15"/>
  <c r="BA54" i="15" s="1"/>
  <c r="BA31" i="15"/>
  <c r="AQ55" i="15"/>
  <c r="AQ58" i="15"/>
  <c r="K48" i="15"/>
  <c r="AL47" i="15"/>
  <c r="AL54" i="15" s="1"/>
  <c r="AL31" i="15"/>
  <c r="AQ30" i="15"/>
  <c r="AQ98" i="9"/>
  <c r="AQ77" i="20" s="1"/>
  <c r="I59" i="14"/>
  <c r="AD77" i="20"/>
  <c r="AW22" i="9"/>
  <c r="AW26" i="20"/>
  <c r="AS41" i="15"/>
  <c r="AS59" i="15"/>
  <c r="AD29" i="1"/>
  <c r="I48" i="13"/>
  <c r="AT11" i="16"/>
  <c r="AO29" i="1"/>
  <c r="AV77" i="20"/>
  <c r="AM29" i="1"/>
  <c r="AF29" i="1"/>
  <c r="AR15" i="16"/>
  <c r="AR22" i="9"/>
  <c r="AR26" i="20"/>
  <c r="AG41" i="15"/>
  <c r="AG59" i="15"/>
  <c r="BA15" i="16"/>
  <c r="BA22" i="9"/>
  <c r="BA26" i="20"/>
  <c r="AN15" i="16"/>
  <c r="AN22" i="9"/>
  <c r="AN26" i="20"/>
  <c r="M86" i="14"/>
  <c r="AV41" i="15"/>
  <c r="AV59" i="15"/>
  <c r="AS77" i="20"/>
  <c r="AE59" i="15"/>
  <c r="AE41" i="15"/>
  <c r="M59" i="14"/>
  <c r="AW41" i="15"/>
  <c r="AW59" i="15"/>
  <c r="G54" i="12"/>
  <c r="F51" i="12"/>
  <c r="F54" i="12"/>
  <c r="G51" i="12"/>
  <c r="F50" i="12"/>
  <c r="G50" i="12"/>
  <c r="G52" i="12"/>
  <c r="F52" i="12"/>
  <c r="G53" i="12"/>
  <c r="F53" i="12"/>
  <c r="AO11" i="16"/>
  <c r="AN29" i="1"/>
  <c r="AT58" i="15"/>
  <c r="AT55" i="15"/>
  <c r="I86" i="14"/>
  <c r="AT77" i="20"/>
  <c r="AU77" i="20"/>
  <c r="AD58" i="15"/>
  <c r="AD55" i="15"/>
  <c r="J86" i="14"/>
  <c r="BA29" i="1"/>
  <c r="N29" i="1" s="1"/>
  <c r="AM30" i="15"/>
  <c r="AM98" i="9"/>
  <c r="AQ22" i="9"/>
  <c r="J59" i="14"/>
  <c r="AE77" i="20"/>
  <c r="AP58" i="15"/>
  <c r="AP55" i="15"/>
  <c r="AS11" i="16"/>
  <c r="AL11" i="16"/>
  <c r="AL29" i="1"/>
  <c r="K48" i="13"/>
  <c r="K59" i="14"/>
  <c r="AM15" i="16"/>
  <c r="AM22" i="9"/>
  <c r="AM26" i="20"/>
  <c r="AM55" i="15"/>
  <c r="AM58" i="15"/>
  <c r="M29" i="1"/>
  <c r="AU59" i="15"/>
  <c r="AU41" i="15"/>
  <c r="K86" i="14"/>
  <c r="AU11" i="16"/>
  <c r="AY11" i="16"/>
  <c r="AV11" i="16"/>
  <c r="AP98" i="9" l="1"/>
  <c r="AP77" i="20" s="1"/>
  <c r="AZ26" i="20"/>
  <c r="J47" i="12"/>
  <c r="I47" i="12"/>
  <c r="AP22" i="9"/>
  <c r="AX22" i="9"/>
  <c r="L11" i="16"/>
  <c r="AG98" i="9"/>
  <c r="AG77" i="20" s="1"/>
  <c r="AG30" i="15"/>
  <c r="AL58" i="15"/>
  <c r="AL41" i="15" s="1"/>
  <c r="K54" i="15"/>
  <c r="K55" i="15" s="1"/>
  <c r="AQ15" i="16"/>
  <c r="M98" i="9"/>
  <c r="J29" i="1"/>
  <c r="AX26" i="20"/>
  <c r="AP15" i="16"/>
  <c r="AL55" i="15"/>
  <c r="L31" i="15"/>
  <c r="K22" i="12" s="1"/>
  <c r="AR30" i="15"/>
  <c r="L30" i="15" s="1"/>
  <c r="AR98" i="9"/>
  <c r="AR77" i="20" s="1"/>
  <c r="AR54" i="15"/>
  <c r="L54" i="15" s="1"/>
  <c r="L55" i="15" s="1"/>
  <c r="L47" i="15"/>
  <c r="P48" i="15"/>
  <c r="AF54" i="15"/>
  <c r="I54" i="15" s="1"/>
  <c r="I55" i="15" s="1"/>
  <c r="I47" i="15"/>
  <c r="I31" i="15"/>
  <c r="H22" i="12" s="1"/>
  <c r="AF30" i="15"/>
  <c r="AF98" i="9"/>
  <c r="BA55" i="15"/>
  <c r="BA58" i="15"/>
  <c r="AO30" i="15"/>
  <c r="AO98" i="9"/>
  <c r="AO77" i="20" s="1"/>
  <c r="AJ30" i="15"/>
  <c r="AJ98" i="9"/>
  <c r="AJ77" i="20" s="1"/>
  <c r="AN55" i="15"/>
  <c r="AN58" i="15"/>
  <c r="AI55" i="15"/>
  <c r="AI58" i="15"/>
  <c r="AL98" i="9"/>
  <c r="AL77" i="20" s="1"/>
  <c r="AL30" i="15"/>
  <c r="AN30" i="15"/>
  <c r="AN98" i="9"/>
  <c r="AN77" i="20" s="1"/>
  <c r="AI30" i="15"/>
  <c r="AI98" i="9"/>
  <c r="AI77" i="20" s="1"/>
  <c r="N47" i="15"/>
  <c r="AX54" i="15"/>
  <c r="N54" i="15" s="1"/>
  <c r="N55" i="15" s="1"/>
  <c r="AK30" i="15"/>
  <c r="AK98" i="9"/>
  <c r="AK77" i="20" s="1"/>
  <c r="AH54" i="15"/>
  <c r="J54" i="15" s="1"/>
  <c r="J55" i="15" s="1"/>
  <c r="J47" i="15"/>
  <c r="AK58" i="15"/>
  <c r="AK55" i="15"/>
  <c r="J31" i="15"/>
  <c r="I22" i="12" s="1"/>
  <c r="AH30" i="15"/>
  <c r="AH98" i="9"/>
  <c r="AX30" i="15"/>
  <c r="N31" i="15"/>
  <c r="AX98" i="9"/>
  <c r="AQ41" i="15"/>
  <c r="AQ59" i="15"/>
  <c r="AZ30" i="15"/>
  <c r="AZ98" i="9"/>
  <c r="AZ77" i="20" s="1"/>
  <c r="AY58" i="15"/>
  <c r="AY55" i="15"/>
  <c r="K47" i="15"/>
  <c r="AZ55" i="15"/>
  <c r="AZ58" i="15"/>
  <c r="AY30" i="15"/>
  <c r="AY98" i="9"/>
  <c r="AY77" i="20" s="1"/>
  <c r="AW15" i="16"/>
  <c r="BA30" i="15"/>
  <c r="BA98" i="9"/>
  <c r="BA77" i="20" s="1"/>
  <c r="AO58" i="15"/>
  <c r="AO55" i="15"/>
  <c r="AJ55" i="15"/>
  <c r="AJ58" i="15"/>
  <c r="K31" i="15"/>
  <c r="J22" i="12" s="1"/>
  <c r="AU42" i="15"/>
  <c r="AU99" i="9"/>
  <c r="AS42" i="15"/>
  <c r="AS99" i="9"/>
  <c r="AV22" i="9"/>
  <c r="AV26" i="20"/>
  <c r="AV15" i="16"/>
  <c r="Y50" i="13"/>
  <c r="Y55" i="13" s="1"/>
  <c r="V50" i="13"/>
  <c r="V55" i="13" s="1"/>
  <c r="W50" i="13"/>
  <c r="W55" i="13" s="1"/>
  <c r="X50" i="13"/>
  <c r="X55" i="13" s="1"/>
  <c r="V91" i="14"/>
  <c r="W91" i="14"/>
  <c r="X91" i="14"/>
  <c r="Y91" i="14"/>
  <c r="I29" i="1"/>
  <c r="AP59" i="15"/>
  <c r="AP41" i="15"/>
  <c r="M11" i="16"/>
  <c r="AT15" i="16"/>
  <c r="AT22" i="9"/>
  <c r="AT26" i="20"/>
  <c r="Y51" i="13"/>
  <c r="Y56" i="13" s="1"/>
  <c r="V51" i="13"/>
  <c r="V56" i="13" s="1"/>
  <c r="W51" i="13"/>
  <c r="W56" i="13" s="1"/>
  <c r="X51" i="13"/>
  <c r="X56" i="13" s="1"/>
  <c r="M77" i="20"/>
  <c r="H47" i="12"/>
  <c r="P86" i="14"/>
  <c r="F62" i="12"/>
  <c r="F67" i="12" s="1"/>
  <c r="V49" i="13"/>
  <c r="X49" i="13"/>
  <c r="Y49" i="13"/>
  <c r="W49" i="13"/>
  <c r="AE42" i="15"/>
  <c r="AE99" i="9"/>
  <c r="Z50" i="13"/>
  <c r="AA50" i="13"/>
  <c r="AA55" i="13" s="1"/>
  <c r="AB50" i="13"/>
  <c r="AB55" i="13" s="1"/>
  <c r="AC50" i="13"/>
  <c r="AC55" i="13" s="1"/>
  <c r="Z51" i="13"/>
  <c r="AA51" i="13"/>
  <c r="AA56" i="13" s="1"/>
  <c r="AB51" i="13"/>
  <c r="AB56" i="13" s="1"/>
  <c r="AC51" i="13"/>
  <c r="AC56" i="13" s="1"/>
  <c r="AO15" i="16"/>
  <c r="AO22" i="9"/>
  <c r="AO26" i="20"/>
  <c r="G62" i="12"/>
  <c r="G67" i="12" s="1"/>
  <c r="AB49" i="13"/>
  <c r="Z49" i="13"/>
  <c r="AA49" i="13"/>
  <c r="AC49" i="13"/>
  <c r="AZ15" i="16"/>
  <c r="AM59" i="15"/>
  <c r="AM41" i="15"/>
  <c r="AM77" i="20"/>
  <c r="AY15" i="16"/>
  <c r="AY26" i="20"/>
  <c r="AY22" i="9"/>
  <c r="AU15" i="16"/>
  <c r="AU22" i="9"/>
  <c r="AU26" i="20"/>
  <c r="AS22" i="9"/>
  <c r="AS15" i="16"/>
  <c r="AS26" i="20"/>
  <c r="G63" i="12"/>
  <c r="G68" i="12" s="1"/>
  <c r="Z90" i="14"/>
  <c r="AA90" i="14"/>
  <c r="AB90" i="14"/>
  <c r="AC90" i="14"/>
  <c r="AW42" i="15"/>
  <c r="AW99" i="9"/>
  <c r="N11" i="16"/>
  <c r="P11" i="16" s="1"/>
  <c r="K29" i="1"/>
  <c r="K11" i="16"/>
  <c r="AL15" i="16"/>
  <c r="AL22" i="9"/>
  <c r="AL26" i="20"/>
  <c r="F63" i="12"/>
  <c r="F68" i="12" s="1"/>
  <c r="Y90" i="14"/>
  <c r="V90" i="14"/>
  <c r="W90" i="14"/>
  <c r="X90" i="14"/>
  <c r="AX15" i="16"/>
  <c r="AG42" i="15"/>
  <c r="AG99" i="9"/>
  <c r="AV42" i="15"/>
  <c r="AV99" i="9"/>
  <c r="AD41" i="15"/>
  <c r="AD59" i="15"/>
  <c r="AT41" i="15"/>
  <c r="M58" i="15"/>
  <c r="M59" i="15" s="1"/>
  <c r="AT59" i="15"/>
  <c r="AC91" i="14"/>
  <c r="Z91" i="14"/>
  <c r="AA91" i="14"/>
  <c r="AB91" i="14"/>
  <c r="Z56" i="13" l="1"/>
  <c r="H56" i="13" s="1"/>
  <c r="H51" i="13"/>
  <c r="Z55" i="13"/>
  <c r="H55" i="13" s="1"/>
  <c r="H50" i="13"/>
  <c r="H49" i="13"/>
  <c r="L77" i="20"/>
  <c r="G23" i="9"/>
  <c r="I30" i="15"/>
  <c r="AL59" i="15"/>
  <c r="K30" i="15"/>
  <c r="P47" i="15"/>
  <c r="L98" i="9"/>
  <c r="K58" i="15"/>
  <c r="K59" i="15" s="1"/>
  <c r="AR55" i="15"/>
  <c r="AR58" i="15"/>
  <c r="I98" i="9"/>
  <c r="AF77" i="20"/>
  <c r="I77" i="20" s="1"/>
  <c r="J30" i="15"/>
  <c r="AF58" i="15"/>
  <c r="AF55" i="15"/>
  <c r="AZ59" i="15"/>
  <c r="AZ41" i="15"/>
  <c r="AQ42" i="15"/>
  <c r="AQ99" i="9"/>
  <c r="AQ78" i="20" s="1"/>
  <c r="AK59" i="15"/>
  <c r="AK41" i="15"/>
  <c r="AN41" i="15"/>
  <c r="AN59" i="15"/>
  <c r="AO41" i="15"/>
  <c r="AO59" i="15"/>
  <c r="N98" i="9"/>
  <c r="AX77" i="20"/>
  <c r="N77" i="20" s="1"/>
  <c r="N30" i="15"/>
  <c r="AY41" i="15"/>
  <c r="AY59" i="15"/>
  <c r="J98" i="9"/>
  <c r="AH77" i="20"/>
  <c r="J77" i="20" s="1"/>
  <c r="M22" i="12"/>
  <c r="P31" i="15"/>
  <c r="K77" i="20"/>
  <c r="AH55" i="15"/>
  <c r="AH58" i="15"/>
  <c r="AJ41" i="15"/>
  <c r="AJ59" i="15"/>
  <c r="AX58" i="15"/>
  <c r="AX55" i="15"/>
  <c r="AI59" i="15"/>
  <c r="AI41" i="15"/>
  <c r="BA41" i="15"/>
  <c r="BA59" i="15"/>
  <c r="K98" i="9"/>
  <c r="L26" i="20"/>
  <c r="Z54" i="13"/>
  <c r="Z48" i="13"/>
  <c r="AE78" i="20"/>
  <c r="V48" i="13"/>
  <c r="V54" i="13"/>
  <c r="V53" i="13" s="1"/>
  <c r="V89" i="14"/>
  <c r="V93" i="14"/>
  <c r="Y93" i="14"/>
  <c r="Y89" i="14"/>
  <c r="AM42" i="15"/>
  <c r="AM99" i="9"/>
  <c r="AB48" i="13"/>
  <c r="AB54" i="13"/>
  <c r="AB53" i="13" s="1"/>
  <c r="L22" i="9"/>
  <c r="M25" i="22" s="1"/>
  <c r="AC89" i="14"/>
  <c r="AC93" i="14"/>
  <c r="AP42" i="15"/>
  <c r="AP99" i="9"/>
  <c r="AV78" i="20"/>
  <c r="K26" i="20"/>
  <c r="AB93" i="14"/>
  <c r="AB89" i="14"/>
  <c r="N26" i="20"/>
  <c r="P26" i="20" s="1"/>
  <c r="AS78" i="20"/>
  <c r="AU78" i="20"/>
  <c r="AA93" i="14"/>
  <c r="AA89" i="14"/>
  <c r="AL42" i="15"/>
  <c r="AL99" i="9"/>
  <c r="AD42" i="15"/>
  <c r="AD99" i="9"/>
  <c r="AW78" i="20"/>
  <c r="Z93" i="14"/>
  <c r="Z89" i="14"/>
  <c r="W54" i="13"/>
  <c r="W53" i="13" s="1"/>
  <c r="W48" i="13"/>
  <c r="K22" i="9"/>
  <c r="L25" i="22" s="1"/>
  <c r="M41" i="15"/>
  <c r="M42" i="15" s="1"/>
  <c r="AT42" i="15"/>
  <c r="AT99" i="9"/>
  <c r="X89" i="14"/>
  <c r="X93" i="14"/>
  <c r="AC48" i="13"/>
  <c r="AC54" i="13"/>
  <c r="AC53" i="13" s="1"/>
  <c r="N22" i="9"/>
  <c r="Y54" i="13"/>
  <c r="Y53" i="13" s="1"/>
  <c r="Y48" i="13"/>
  <c r="M26" i="20"/>
  <c r="AG78" i="20"/>
  <c r="W89" i="14"/>
  <c r="W93" i="14"/>
  <c r="AA48" i="13"/>
  <c r="AA54" i="13"/>
  <c r="AA53" i="13" s="1"/>
  <c r="X48" i="13"/>
  <c r="X54" i="13"/>
  <c r="X53" i="13" s="1"/>
  <c r="M22" i="9"/>
  <c r="N25" i="22" s="1"/>
  <c r="Z53" i="13" l="1"/>
  <c r="Z64" i="13" s="1"/>
  <c r="H54" i="13"/>
  <c r="P77" i="20"/>
  <c r="P98" i="9"/>
  <c r="P30" i="15"/>
  <c r="K41" i="15"/>
  <c r="K42" i="15" s="1"/>
  <c r="AR59" i="15"/>
  <c r="AR41" i="15"/>
  <c r="L58" i="15"/>
  <c r="L59" i="15" s="1"/>
  <c r="AF59" i="15"/>
  <c r="AF41" i="15"/>
  <c r="I58" i="15"/>
  <c r="I59" i="15" s="1"/>
  <c r="AJ42" i="15"/>
  <c r="AJ99" i="9"/>
  <c r="AJ78" i="20" s="1"/>
  <c r="AH59" i="15"/>
  <c r="AH41" i="15"/>
  <c r="J58" i="15"/>
  <c r="J59" i="15" s="1"/>
  <c r="AY42" i="15"/>
  <c r="AY99" i="9"/>
  <c r="AY78" i="20" s="1"/>
  <c r="AN99" i="9"/>
  <c r="AN78" i="20" s="1"/>
  <c r="AN42" i="15"/>
  <c r="BA42" i="15"/>
  <c r="BA99" i="9"/>
  <c r="BA78" i="20" s="1"/>
  <c r="AK42" i="15"/>
  <c r="AK99" i="9"/>
  <c r="AK78" i="20" s="1"/>
  <c r="AI42" i="15"/>
  <c r="AI99" i="9"/>
  <c r="AI78" i="20" s="1"/>
  <c r="AX41" i="15"/>
  <c r="N58" i="15"/>
  <c r="AX59" i="15"/>
  <c r="AZ42" i="15"/>
  <c r="AZ99" i="9"/>
  <c r="AZ78" i="20" s="1"/>
  <c r="AO42" i="15"/>
  <c r="AO99" i="9"/>
  <c r="AO78" i="20" s="1"/>
  <c r="AA58" i="13"/>
  <c r="AA64" i="13"/>
  <c r="AC64" i="13"/>
  <c r="AC58" i="13"/>
  <c r="AB58" i="13"/>
  <c r="AB64" i="13"/>
  <c r="W58" i="13"/>
  <c r="W64" i="13"/>
  <c r="X60" i="13"/>
  <c r="X62" i="13"/>
  <c r="X66" i="13" s="1"/>
  <c r="AT78" i="20"/>
  <c r="M78" i="20" s="1"/>
  <c r="M99" i="9"/>
  <c r="V58" i="13"/>
  <c r="V64" i="13"/>
  <c r="X58" i="13"/>
  <c r="X64" i="13"/>
  <c r="AA59" i="14"/>
  <c r="AA29" i="1" s="1"/>
  <c r="AA30" i="1" s="1"/>
  <c r="AA96" i="14"/>
  <c r="AA99" i="14" s="1"/>
  <c r="W94" i="14"/>
  <c r="W97" i="14"/>
  <c r="AA94" i="14"/>
  <c r="AA97" i="14"/>
  <c r="AM78" i="20"/>
  <c r="H48" i="13"/>
  <c r="Z62" i="13"/>
  <c r="W59" i="14"/>
  <c r="W29" i="1" s="1"/>
  <c r="W30" i="1" s="1"/>
  <c r="W96" i="14"/>
  <c r="W99" i="14" s="1"/>
  <c r="X94" i="14"/>
  <c r="X97" i="14"/>
  <c r="W60" i="13"/>
  <c r="W62" i="13"/>
  <c r="W66" i="13" s="1"/>
  <c r="AP78" i="20"/>
  <c r="X59" i="14"/>
  <c r="X29" i="1" s="1"/>
  <c r="X30" i="1" s="1"/>
  <c r="X96" i="14"/>
  <c r="X99" i="14" s="1"/>
  <c r="V60" i="13"/>
  <c r="V62" i="13"/>
  <c r="V66" i="13" s="1"/>
  <c r="AL78" i="20"/>
  <c r="P22" i="9"/>
  <c r="O25" i="22"/>
  <c r="Z59" i="14"/>
  <c r="Z96" i="14"/>
  <c r="Z99" i="14" s="1"/>
  <c r="H89" i="14"/>
  <c r="AD78" i="20"/>
  <c r="Y58" i="13"/>
  <c r="Y64" i="13"/>
  <c r="Z94" i="14"/>
  <c r="Z97" i="14"/>
  <c r="AB59" i="14"/>
  <c r="AB29" i="1" s="1"/>
  <c r="AB30" i="1" s="1"/>
  <c r="AB96" i="14"/>
  <c r="AB99" i="14" s="1"/>
  <c r="AC94" i="14"/>
  <c r="AC97" i="14"/>
  <c r="Y59" i="14"/>
  <c r="Y29" i="1" s="1"/>
  <c r="Y30" i="1" s="1"/>
  <c r="Y96" i="14"/>
  <c r="Y99" i="14" s="1"/>
  <c r="V94" i="14"/>
  <c r="V97" i="14"/>
  <c r="AA60" i="13"/>
  <c r="AA62" i="13"/>
  <c r="AA66" i="13" s="1"/>
  <c r="AC60" i="13"/>
  <c r="AC62" i="13"/>
  <c r="AC66" i="13" s="1"/>
  <c r="Y60" i="13"/>
  <c r="Y62" i="13"/>
  <c r="Y66" i="13" s="1"/>
  <c r="AB94" i="14"/>
  <c r="AB97" i="14"/>
  <c r="AC59" i="14"/>
  <c r="AC29" i="1" s="1"/>
  <c r="AC30" i="1" s="1"/>
  <c r="AC96" i="14"/>
  <c r="AC99" i="14" s="1"/>
  <c r="AB60" i="13"/>
  <c r="AB62" i="13"/>
  <c r="AB66" i="13" s="1"/>
  <c r="Y94" i="14"/>
  <c r="Y97" i="14"/>
  <c r="V59" i="14"/>
  <c r="G89" i="14"/>
  <c r="V96" i="14"/>
  <c r="V99" i="14" s="1"/>
  <c r="Z58" i="13" l="1"/>
  <c r="Z60" i="13"/>
  <c r="H53" i="13"/>
  <c r="H58" i="13" s="1"/>
  <c r="H64" i="13"/>
  <c r="Z66" i="13"/>
  <c r="H66" i="13" s="1"/>
  <c r="H62" i="13"/>
  <c r="K99" i="9"/>
  <c r="AR42" i="15"/>
  <c r="AR99" i="9"/>
  <c r="L41" i="15"/>
  <c r="L42" i="15" s="1"/>
  <c r="AF99" i="9"/>
  <c r="AF42" i="15"/>
  <c r="I41" i="15"/>
  <c r="I42" i="15" s="1"/>
  <c r="AX42" i="15"/>
  <c r="N41" i="15"/>
  <c r="AX99" i="9"/>
  <c r="J41" i="15"/>
  <c r="J42" i="15" s="1"/>
  <c r="AH42" i="15"/>
  <c r="AH99" i="9"/>
  <c r="P58" i="15"/>
  <c r="N59" i="15"/>
  <c r="K78" i="20"/>
  <c r="G59" i="14"/>
  <c r="H59" i="14"/>
  <c r="Z29" i="1"/>
  <c r="V29" i="1"/>
  <c r="H60" i="13" l="1"/>
  <c r="AR78" i="20"/>
  <c r="L78" i="20" s="1"/>
  <c r="L99" i="9"/>
  <c r="AF78" i="20"/>
  <c r="I78" i="20" s="1"/>
  <c r="I99" i="9"/>
  <c r="AH78" i="20"/>
  <c r="J78" i="20" s="1"/>
  <c r="J99" i="9"/>
  <c r="AX78" i="20"/>
  <c r="N78" i="20" s="1"/>
  <c r="N99" i="9"/>
  <c r="N42" i="15"/>
  <c r="P41" i="15"/>
  <c r="H29" i="1"/>
  <c r="H30" i="1" s="1"/>
  <c r="Z30" i="1"/>
  <c r="G29" i="1"/>
  <c r="G30" i="1" s="1"/>
  <c r="V30" i="1"/>
  <c r="P99" i="9" l="1"/>
  <c r="P78" i="20"/>
  <c r="N131" i="9" l="1"/>
  <c r="I131" i="9"/>
  <c r="H13" i="18"/>
  <c r="H29" i="18" s="1"/>
  <c r="G24" i="18"/>
  <c r="H24" i="18"/>
  <c r="J25" i="18" s="1"/>
  <c r="N25" i="18" l="1"/>
  <c r="M25" i="18"/>
  <c r="N26" i="18" s="1"/>
  <c r="L25" i="18"/>
  <c r="I25" i="18"/>
  <c r="J26" i="18" s="1"/>
  <c r="K11" i="8" s="1"/>
  <c r="K25" i="18"/>
  <c r="K26" i="18" s="1"/>
  <c r="H25" i="18"/>
  <c r="I29" i="18"/>
  <c r="H27" i="18"/>
  <c r="M26" i="18" l="1"/>
  <c r="X11" i="8"/>
  <c r="V11" i="8"/>
  <c r="W11" i="8"/>
  <c r="Y11" i="8"/>
  <c r="AB11" i="8"/>
  <c r="AC11" i="8"/>
  <c r="Z11" i="8"/>
  <c r="AA11" i="8"/>
  <c r="L26" i="18"/>
  <c r="R11" i="8"/>
  <c r="S11" i="8"/>
  <c r="T11" i="8"/>
  <c r="U11" i="8"/>
  <c r="I26" i="18"/>
  <c r="J11" i="8"/>
  <c r="M11" i="8"/>
  <c r="L11" i="8"/>
  <c r="J29" i="18"/>
  <c r="I27" i="18"/>
  <c r="I28" i="18" s="1"/>
  <c r="Q11" i="8"/>
  <c r="N11" i="8"/>
  <c r="O11" i="8"/>
  <c r="P11" i="8"/>
  <c r="G11" i="8" l="1"/>
  <c r="H11" i="8"/>
  <c r="I11" i="8"/>
  <c r="F11" i="8"/>
  <c r="I10" i="8"/>
  <c r="F10" i="8"/>
  <c r="G10" i="8"/>
  <c r="H10" i="8"/>
  <c r="J27" i="18"/>
  <c r="J28" i="18" s="1"/>
  <c r="K29" i="18"/>
  <c r="H14" i="8" l="1"/>
  <c r="G14" i="8"/>
  <c r="M10" i="8"/>
  <c r="J10" i="8"/>
  <c r="K10" i="8"/>
  <c r="L10" i="8"/>
  <c r="K27" i="18"/>
  <c r="K28" i="18" s="1"/>
  <c r="L29" i="18"/>
  <c r="F14" i="8"/>
  <c r="I14" i="8"/>
  <c r="L14" i="8" l="1"/>
  <c r="K14" i="8"/>
  <c r="M29" i="18"/>
  <c r="L27" i="18"/>
  <c r="L28" i="18" s="1"/>
  <c r="J14" i="8"/>
  <c r="Q10" i="8"/>
  <c r="N10" i="8"/>
  <c r="O10" i="8"/>
  <c r="P10" i="8"/>
  <c r="M14" i="8"/>
  <c r="Q14" i="8" l="1"/>
  <c r="N29" i="18"/>
  <c r="N27" i="18" s="1"/>
  <c r="M27" i="18"/>
  <c r="M28" i="18" s="1"/>
  <c r="P14" i="8"/>
  <c r="O14" i="8"/>
  <c r="N14" i="8"/>
  <c r="U10" i="8"/>
  <c r="R10" i="8"/>
  <c r="S10" i="8"/>
  <c r="T10" i="8"/>
  <c r="S14" i="8" l="1"/>
  <c r="N28" i="18"/>
  <c r="R14" i="8"/>
  <c r="U14" i="8"/>
  <c r="T14" i="8"/>
  <c r="Y10" i="8"/>
  <c r="V10" i="8"/>
  <c r="W10" i="8"/>
  <c r="X10" i="8"/>
  <c r="X14" i="8" l="1"/>
  <c r="V14" i="8"/>
  <c r="AC10" i="8"/>
  <c r="Z10" i="8"/>
  <c r="AA10" i="8"/>
  <c r="AB10" i="8"/>
  <c r="Y14" i="8"/>
  <c r="W14" i="8"/>
  <c r="AC14" i="8" l="1"/>
  <c r="AB14" i="8"/>
  <c r="AA14" i="8"/>
  <c r="Z14" i="8"/>
  <c r="G15" i="9" l="1"/>
  <c r="G29" i="9" s="1"/>
  <c r="K25" i="9"/>
  <c r="L28" i="22" s="1"/>
  <c r="G34" i="9" l="1"/>
  <c r="G32" i="9"/>
  <c r="G37" i="9" s="1"/>
  <c r="F9" i="8"/>
  <c r="AD21" i="13" s="1"/>
  <c r="AD13" i="13" s="1"/>
  <c r="AD27" i="13" s="1"/>
  <c r="G9" i="8"/>
  <c r="AE21" i="13" s="1"/>
  <c r="AE13" i="13" s="1"/>
  <c r="H9" i="8"/>
  <c r="AF21" i="13" s="1"/>
  <c r="AF13" i="13" s="1"/>
  <c r="AF9" i="9" s="1"/>
  <c r="I9" i="8"/>
  <c r="AG21" i="13" s="1"/>
  <c r="AG13" i="13" s="1"/>
  <c r="J9" i="8"/>
  <c r="AH21" i="13" s="1"/>
  <c r="K9" i="8"/>
  <c r="AI21" i="13" s="1"/>
  <c r="L9" i="8"/>
  <c r="AJ21" i="13" s="1"/>
  <c r="M9" i="8"/>
  <c r="AK21" i="13" s="1"/>
  <c r="N9" i="8"/>
  <c r="AL21" i="13" s="1"/>
  <c r="O9" i="8"/>
  <c r="AM21" i="13" s="1"/>
  <c r="P9" i="8"/>
  <c r="AN21" i="13" s="1"/>
  <c r="Q9" i="8"/>
  <c r="AO21" i="13" s="1"/>
  <c r="R9" i="8"/>
  <c r="AP21" i="13" s="1"/>
  <c r="S9" i="8"/>
  <c r="AQ21" i="13" s="1"/>
  <c r="T9" i="8"/>
  <c r="AR21" i="13" s="1"/>
  <c r="U9" i="8"/>
  <c r="AS21" i="13" s="1"/>
  <c r="V9" i="8"/>
  <c r="AT21" i="13" s="1"/>
  <c r="W9" i="8"/>
  <c r="AU21" i="13" s="1"/>
  <c r="X9" i="8"/>
  <c r="AV21" i="13" s="1"/>
  <c r="Y9" i="8"/>
  <c r="AW21" i="13" s="1"/>
  <c r="Z9" i="8"/>
  <c r="AX21" i="13" s="1"/>
  <c r="AA9" i="8"/>
  <c r="AY21" i="13" s="1"/>
  <c r="AB9" i="8"/>
  <c r="AZ21" i="13" s="1"/>
  <c r="AC9" i="8"/>
  <c r="BA21" i="13" s="1"/>
  <c r="F13" i="8"/>
  <c r="AD22" i="13" s="1"/>
  <c r="AD14" i="13" s="1"/>
  <c r="AD14" i="20" s="1"/>
  <c r="G13" i="8"/>
  <c r="AE22" i="13" s="1"/>
  <c r="AE14" i="13" s="1"/>
  <c r="AE10" i="9" s="1"/>
  <c r="H13" i="8"/>
  <c r="AF22" i="13" s="1"/>
  <c r="AF14" i="13" s="1"/>
  <c r="I13" i="8"/>
  <c r="AG22" i="13" s="1"/>
  <c r="AG14" i="13" s="1"/>
  <c r="J13" i="8"/>
  <c r="AH22" i="13" s="1"/>
  <c r="K13" i="8"/>
  <c r="AI22" i="13" s="1"/>
  <c r="L13" i="8"/>
  <c r="AJ22" i="13" s="1"/>
  <c r="M13" i="8"/>
  <c r="AK22" i="13" s="1"/>
  <c r="N13" i="8"/>
  <c r="AL22" i="13" s="1"/>
  <c r="O13" i="8"/>
  <c r="AM22" i="13" s="1"/>
  <c r="P13" i="8"/>
  <c r="AN22" i="13" s="1"/>
  <c r="Q13" i="8"/>
  <c r="AO22" i="13" s="1"/>
  <c r="R13" i="8"/>
  <c r="AP22" i="13" s="1"/>
  <c r="S13" i="8"/>
  <c r="AQ22" i="13" s="1"/>
  <c r="T13" i="8"/>
  <c r="AR22" i="13" s="1"/>
  <c r="U13" i="8"/>
  <c r="AS22" i="13" s="1"/>
  <c r="V13" i="8"/>
  <c r="AT22" i="13" s="1"/>
  <c r="W13" i="8"/>
  <c r="AU22" i="13" s="1"/>
  <c r="X13" i="8"/>
  <c r="AV22" i="13" s="1"/>
  <c r="Y13" i="8"/>
  <c r="AW22" i="13" s="1"/>
  <c r="Z13" i="8"/>
  <c r="AX22" i="13" s="1"/>
  <c r="AA13" i="8"/>
  <c r="AY22" i="13" s="1"/>
  <c r="AB13" i="8"/>
  <c r="AZ22" i="13" s="1"/>
  <c r="AC13" i="8"/>
  <c r="BA22" i="13" s="1"/>
  <c r="F18" i="8"/>
  <c r="AD69" i="13" s="1"/>
  <c r="G18" i="8"/>
  <c r="AE69" i="13" s="1"/>
  <c r="H18" i="8"/>
  <c r="AF69" i="13" s="1"/>
  <c r="I18" i="8"/>
  <c r="AG69" i="13" s="1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F21" i="8"/>
  <c r="AD70" i="13" s="1"/>
  <c r="AD14" i="26" s="1"/>
  <c r="G21" i="8"/>
  <c r="AE70" i="13" s="1"/>
  <c r="AE14" i="26" s="1"/>
  <c r="H21" i="8"/>
  <c r="AF70" i="13" s="1"/>
  <c r="AF14" i="26" s="1"/>
  <c r="I21" i="8"/>
  <c r="AG70" i="13" s="1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F24" i="8"/>
  <c r="AD90" i="13" s="1"/>
  <c r="AD89" i="13" s="1"/>
  <c r="G24" i="8"/>
  <c r="AE90" i="13" s="1"/>
  <c r="AE89" i="13" s="1"/>
  <c r="H24" i="8"/>
  <c r="AF90" i="13" s="1"/>
  <c r="AF89" i="13" s="1"/>
  <c r="I24" i="8"/>
  <c r="AG90" i="13" s="1"/>
  <c r="AG89" i="13" s="1"/>
  <c r="J24" i="8"/>
  <c r="AH90" i="13" s="1"/>
  <c r="K24" i="8"/>
  <c r="AI90" i="13" s="1"/>
  <c r="L24" i="8"/>
  <c r="AJ90" i="13" s="1"/>
  <c r="M24" i="8"/>
  <c r="AK90" i="13" s="1"/>
  <c r="N24" i="8"/>
  <c r="AL90" i="13" s="1"/>
  <c r="O24" i="8"/>
  <c r="AM90" i="13" s="1"/>
  <c r="P24" i="8"/>
  <c r="AN90" i="13" s="1"/>
  <c r="Q24" i="8"/>
  <c r="AO90" i="13" s="1"/>
  <c r="R24" i="8"/>
  <c r="AP90" i="13" s="1"/>
  <c r="S24" i="8"/>
  <c r="AQ90" i="13" s="1"/>
  <c r="T24" i="8"/>
  <c r="AR90" i="13" s="1"/>
  <c r="U24" i="8"/>
  <c r="AS90" i="13" s="1"/>
  <c r="V24" i="8"/>
  <c r="AT90" i="13" s="1"/>
  <c r="W24" i="8"/>
  <c r="AU90" i="13" s="1"/>
  <c r="X24" i="8"/>
  <c r="AV90" i="13" s="1"/>
  <c r="Y24" i="8"/>
  <c r="AW90" i="13" s="1"/>
  <c r="Z24" i="8"/>
  <c r="AX90" i="13" s="1"/>
  <c r="AA24" i="8"/>
  <c r="AY90" i="13" s="1"/>
  <c r="AB24" i="8"/>
  <c r="AZ90" i="13" s="1"/>
  <c r="AC24" i="8"/>
  <c r="BA90" i="13" s="1"/>
  <c r="F29" i="8"/>
  <c r="AD25" i="14" s="1"/>
  <c r="AD17" i="14" s="1"/>
  <c r="AD104" i="14" s="1"/>
  <c r="G29" i="8"/>
  <c r="AE25" i="14" s="1"/>
  <c r="AE17" i="14" s="1"/>
  <c r="AE104" i="14" s="1"/>
  <c r="H29" i="8"/>
  <c r="AF25" i="14" s="1"/>
  <c r="AF17" i="14" s="1"/>
  <c r="AF104" i="14" s="1"/>
  <c r="I29" i="8"/>
  <c r="AG25" i="14" s="1"/>
  <c r="AG17" i="14" s="1"/>
  <c r="AG104" i="14" s="1"/>
  <c r="J29" i="8"/>
  <c r="AH25" i="14" s="1"/>
  <c r="K29" i="8"/>
  <c r="AI25" i="14" s="1"/>
  <c r="L29" i="8"/>
  <c r="AJ25" i="14" s="1"/>
  <c r="M29" i="8"/>
  <c r="AK25" i="14" s="1"/>
  <c r="N29" i="8"/>
  <c r="AL25" i="14" s="1"/>
  <c r="O29" i="8"/>
  <c r="AM25" i="14" s="1"/>
  <c r="P29" i="8"/>
  <c r="AN25" i="14" s="1"/>
  <c r="Q29" i="8"/>
  <c r="AO25" i="14" s="1"/>
  <c r="R29" i="8"/>
  <c r="AP25" i="14" s="1"/>
  <c r="S29" i="8"/>
  <c r="AQ25" i="14" s="1"/>
  <c r="T29" i="8"/>
  <c r="AR25" i="14" s="1"/>
  <c r="U29" i="8"/>
  <c r="AS25" i="14" s="1"/>
  <c r="V29" i="8"/>
  <c r="AT25" i="14" s="1"/>
  <c r="W29" i="8"/>
  <c r="AU25" i="14" s="1"/>
  <c r="X29" i="8"/>
  <c r="AV25" i="14" s="1"/>
  <c r="Y29" i="8"/>
  <c r="AW25" i="14" s="1"/>
  <c r="Z29" i="8"/>
  <c r="AX25" i="14" s="1"/>
  <c r="AA29" i="8"/>
  <c r="AY25" i="14" s="1"/>
  <c r="AB29" i="8"/>
  <c r="AZ25" i="14" s="1"/>
  <c r="AC29" i="8"/>
  <c r="BA25" i="14" s="1"/>
  <c r="F32" i="8"/>
  <c r="G32" i="8"/>
  <c r="H32" i="8"/>
  <c r="I32" i="8"/>
  <c r="J32" i="8"/>
  <c r="AH29" i="14" s="1"/>
  <c r="K32" i="8"/>
  <c r="AI29" i="14" s="1"/>
  <c r="L32" i="8"/>
  <c r="AJ29" i="14" s="1"/>
  <c r="M32" i="8"/>
  <c r="AK29" i="14" s="1"/>
  <c r="N32" i="8"/>
  <c r="AL29" i="14" s="1"/>
  <c r="O32" i="8"/>
  <c r="AM29" i="14" s="1"/>
  <c r="P32" i="8"/>
  <c r="AN29" i="14" s="1"/>
  <c r="Q32" i="8"/>
  <c r="AO29" i="14" s="1"/>
  <c r="R32" i="8"/>
  <c r="AP29" i="14" s="1"/>
  <c r="S32" i="8"/>
  <c r="AQ29" i="14" s="1"/>
  <c r="T32" i="8"/>
  <c r="AR29" i="14" s="1"/>
  <c r="U32" i="8"/>
  <c r="AS29" i="14" s="1"/>
  <c r="V32" i="8"/>
  <c r="AT29" i="14" s="1"/>
  <c r="W32" i="8"/>
  <c r="AU29" i="14" s="1"/>
  <c r="X32" i="8"/>
  <c r="AV29" i="14" s="1"/>
  <c r="Y32" i="8"/>
  <c r="AW29" i="14" s="1"/>
  <c r="Z32" i="8"/>
  <c r="AX29" i="14" s="1"/>
  <c r="AA32" i="8"/>
  <c r="AY29" i="14" s="1"/>
  <c r="AB32" i="8"/>
  <c r="AZ29" i="14" s="1"/>
  <c r="AC32" i="8"/>
  <c r="BA29" i="14" s="1"/>
  <c r="F36" i="8"/>
  <c r="AD119" i="14" s="1"/>
  <c r="G36" i="8"/>
  <c r="AE119" i="14" s="1"/>
  <c r="H36" i="8"/>
  <c r="AF119" i="14" s="1"/>
  <c r="I36" i="8"/>
  <c r="AG119" i="14" s="1"/>
  <c r="J36" i="8"/>
  <c r="AH119" i="14" s="1"/>
  <c r="K36" i="8"/>
  <c r="AI119" i="14" s="1"/>
  <c r="L36" i="8"/>
  <c r="AJ119" i="14" s="1"/>
  <c r="M36" i="8"/>
  <c r="AK119" i="14" s="1"/>
  <c r="N36" i="8"/>
  <c r="AL119" i="14" s="1"/>
  <c r="O36" i="8"/>
  <c r="AM119" i="14" s="1"/>
  <c r="P36" i="8"/>
  <c r="AN119" i="14" s="1"/>
  <c r="Q36" i="8"/>
  <c r="AO119" i="14" s="1"/>
  <c r="R36" i="8"/>
  <c r="AP119" i="14" s="1"/>
  <c r="S36" i="8"/>
  <c r="AQ119" i="14" s="1"/>
  <c r="T36" i="8"/>
  <c r="AR119" i="14" s="1"/>
  <c r="U36" i="8"/>
  <c r="AS119" i="14" s="1"/>
  <c r="V36" i="8"/>
  <c r="AT119" i="14" s="1"/>
  <c r="W36" i="8"/>
  <c r="AU119" i="14" s="1"/>
  <c r="X36" i="8"/>
  <c r="AV119" i="14" s="1"/>
  <c r="Y36" i="8"/>
  <c r="AW119" i="14" s="1"/>
  <c r="Z36" i="8"/>
  <c r="AX119" i="14" s="1"/>
  <c r="AA36" i="8"/>
  <c r="AY119" i="14" s="1"/>
  <c r="AB36" i="8"/>
  <c r="AZ119" i="14" s="1"/>
  <c r="AC36" i="8"/>
  <c r="BA119" i="14" s="1"/>
  <c r="F42" i="8"/>
  <c r="AD21" i="15" s="1"/>
  <c r="AD16" i="15" s="1"/>
  <c r="G42" i="8"/>
  <c r="AE21" i="15" s="1"/>
  <c r="AE16" i="15" s="1"/>
  <c r="H42" i="8"/>
  <c r="AF21" i="15" s="1"/>
  <c r="AF16" i="15" s="1"/>
  <c r="I42" i="8"/>
  <c r="AG21" i="15" s="1"/>
  <c r="AG16" i="15" s="1"/>
  <c r="J42" i="8"/>
  <c r="AH21" i="15" s="1"/>
  <c r="K42" i="8"/>
  <c r="AI21" i="15" s="1"/>
  <c r="L42" i="8"/>
  <c r="AJ21" i="15" s="1"/>
  <c r="M42" i="8"/>
  <c r="AK21" i="15" s="1"/>
  <c r="N42" i="8"/>
  <c r="AL21" i="15" s="1"/>
  <c r="O42" i="8"/>
  <c r="AM21" i="15" s="1"/>
  <c r="P42" i="8"/>
  <c r="AN21" i="15" s="1"/>
  <c r="Q42" i="8"/>
  <c r="AO21" i="15" s="1"/>
  <c r="R42" i="8"/>
  <c r="AP21" i="15" s="1"/>
  <c r="S42" i="8"/>
  <c r="AQ21" i="15" s="1"/>
  <c r="T42" i="8"/>
  <c r="AR21" i="15" s="1"/>
  <c r="U42" i="8"/>
  <c r="AS21" i="15" s="1"/>
  <c r="V42" i="8"/>
  <c r="AT21" i="15" s="1"/>
  <c r="W42" i="8"/>
  <c r="AU21" i="15" s="1"/>
  <c r="X42" i="8"/>
  <c r="AV21" i="15" s="1"/>
  <c r="Y42" i="8"/>
  <c r="AW21" i="15" s="1"/>
  <c r="Z42" i="8"/>
  <c r="AX21" i="15" s="1"/>
  <c r="AA42" i="8"/>
  <c r="AY21" i="15" s="1"/>
  <c r="AB42" i="8"/>
  <c r="AZ21" i="15" s="1"/>
  <c r="AC42" i="8"/>
  <c r="BA21" i="15" s="1"/>
  <c r="F47" i="8"/>
  <c r="AD18" i="16" s="1"/>
  <c r="AD10" i="16" s="1"/>
  <c r="AD25" i="20" s="1"/>
  <c r="AD24" i="20" s="1"/>
  <c r="G47" i="8"/>
  <c r="AE18" i="16" s="1"/>
  <c r="H47" i="8"/>
  <c r="AF18" i="16" s="1"/>
  <c r="I47" i="8"/>
  <c r="AG18" i="16" s="1"/>
  <c r="J47" i="8"/>
  <c r="AH18" i="16" s="1"/>
  <c r="K47" i="8"/>
  <c r="AI18" i="16" s="1"/>
  <c r="L47" i="8"/>
  <c r="AJ18" i="16" s="1"/>
  <c r="M47" i="8"/>
  <c r="AK18" i="16" s="1"/>
  <c r="N47" i="8"/>
  <c r="AL18" i="16" s="1"/>
  <c r="O47" i="8"/>
  <c r="AM18" i="16" s="1"/>
  <c r="P47" i="8"/>
  <c r="AN18" i="16" s="1"/>
  <c r="Q47" i="8"/>
  <c r="AO18" i="16" s="1"/>
  <c r="R47" i="8"/>
  <c r="AP18" i="16" s="1"/>
  <c r="S47" i="8"/>
  <c r="AQ18" i="16" s="1"/>
  <c r="T47" i="8"/>
  <c r="AR18" i="16" s="1"/>
  <c r="U47" i="8"/>
  <c r="AS18" i="16" s="1"/>
  <c r="V47" i="8"/>
  <c r="AT18" i="16" s="1"/>
  <c r="W47" i="8"/>
  <c r="AU18" i="16" s="1"/>
  <c r="X47" i="8"/>
  <c r="AV18" i="16" s="1"/>
  <c r="Y47" i="8"/>
  <c r="AW18" i="16" s="1"/>
  <c r="Z47" i="8"/>
  <c r="AX18" i="16" s="1"/>
  <c r="AA47" i="8"/>
  <c r="AY18" i="16" s="1"/>
  <c r="AB47" i="8"/>
  <c r="AZ18" i="16" s="1"/>
  <c r="AC47" i="8"/>
  <c r="BA18" i="16" s="1"/>
  <c r="F51" i="8"/>
  <c r="AD38" i="16" s="1"/>
  <c r="G51" i="8"/>
  <c r="AE38" i="16" s="1"/>
  <c r="H51" i="8"/>
  <c r="AF38" i="16" s="1"/>
  <c r="I51" i="8"/>
  <c r="AG38" i="16" s="1"/>
  <c r="J51" i="8"/>
  <c r="AH38" i="16" s="1"/>
  <c r="K51" i="8"/>
  <c r="AI38" i="16" s="1"/>
  <c r="L51" i="8"/>
  <c r="AJ38" i="16" s="1"/>
  <c r="M51" i="8"/>
  <c r="AK38" i="16" s="1"/>
  <c r="N51" i="8"/>
  <c r="AL38" i="16" s="1"/>
  <c r="O51" i="8"/>
  <c r="AM38" i="16" s="1"/>
  <c r="P51" i="8"/>
  <c r="AN38" i="16" s="1"/>
  <c r="Q51" i="8"/>
  <c r="AO38" i="16" s="1"/>
  <c r="R51" i="8"/>
  <c r="AP38" i="16" s="1"/>
  <c r="S51" i="8"/>
  <c r="AQ38" i="16" s="1"/>
  <c r="T51" i="8"/>
  <c r="AR38" i="16" s="1"/>
  <c r="U51" i="8"/>
  <c r="AS38" i="16" s="1"/>
  <c r="V51" i="8"/>
  <c r="AT38" i="16" s="1"/>
  <c r="W51" i="8"/>
  <c r="AU38" i="16" s="1"/>
  <c r="X51" i="8"/>
  <c r="AV38" i="16" s="1"/>
  <c r="Y51" i="8"/>
  <c r="AW38" i="16" s="1"/>
  <c r="Z51" i="8"/>
  <c r="AX38" i="16" s="1"/>
  <c r="AA51" i="8"/>
  <c r="AY38" i="16" s="1"/>
  <c r="AB51" i="8"/>
  <c r="AZ38" i="16" s="1"/>
  <c r="AC51" i="8"/>
  <c r="BA38" i="16" s="1"/>
  <c r="F54" i="8"/>
  <c r="AD31" i="16" s="1"/>
  <c r="G54" i="8"/>
  <c r="AE31" i="16" s="1"/>
  <c r="H54" i="8"/>
  <c r="AF31" i="16" s="1"/>
  <c r="I54" i="8"/>
  <c r="AG31" i="16" s="1"/>
  <c r="J54" i="8"/>
  <c r="AH31" i="16" s="1"/>
  <c r="K54" i="8"/>
  <c r="AI31" i="16" s="1"/>
  <c r="L54" i="8"/>
  <c r="AJ31" i="16" s="1"/>
  <c r="M54" i="8"/>
  <c r="AK31" i="16" s="1"/>
  <c r="N54" i="8"/>
  <c r="AL31" i="16" s="1"/>
  <c r="O54" i="8"/>
  <c r="AM31" i="16" s="1"/>
  <c r="P54" i="8"/>
  <c r="AN31" i="16" s="1"/>
  <c r="Q54" i="8"/>
  <c r="AO31" i="16" s="1"/>
  <c r="R54" i="8"/>
  <c r="AP31" i="16" s="1"/>
  <c r="S54" i="8"/>
  <c r="AQ31" i="16" s="1"/>
  <c r="T54" i="8"/>
  <c r="AR31" i="16" s="1"/>
  <c r="U54" i="8"/>
  <c r="AS31" i="16" s="1"/>
  <c r="V54" i="8"/>
  <c r="AT31" i="16" s="1"/>
  <c r="W54" i="8"/>
  <c r="AU31" i="16" s="1"/>
  <c r="X54" i="8"/>
  <c r="AV31" i="16" s="1"/>
  <c r="Y54" i="8"/>
  <c r="AW31" i="16" s="1"/>
  <c r="Z54" i="8"/>
  <c r="AX31" i="16" s="1"/>
  <c r="AA54" i="8"/>
  <c r="AY31" i="16" s="1"/>
  <c r="AB54" i="8"/>
  <c r="AZ31" i="16" s="1"/>
  <c r="AC54" i="8"/>
  <c r="BA31" i="16" s="1"/>
  <c r="F59" i="8"/>
  <c r="AD185" i="1" s="1"/>
  <c r="G59" i="8"/>
  <c r="AE185" i="1" s="1"/>
  <c r="AE183" i="1" s="1"/>
  <c r="H59" i="8"/>
  <c r="AF185" i="1" s="1"/>
  <c r="I59" i="8"/>
  <c r="AG185" i="1" s="1"/>
  <c r="J59" i="8"/>
  <c r="AH185" i="1" s="1"/>
  <c r="K59" i="8"/>
  <c r="AI185" i="1" s="1"/>
  <c r="L59" i="8"/>
  <c r="AJ185" i="1" s="1"/>
  <c r="M59" i="8"/>
  <c r="AK185" i="1" s="1"/>
  <c r="N59" i="8"/>
  <c r="AL185" i="1" s="1"/>
  <c r="O59" i="8"/>
  <c r="AM185" i="1" s="1"/>
  <c r="P59" i="8"/>
  <c r="AN185" i="1" s="1"/>
  <c r="Q59" i="8"/>
  <c r="AO185" i="1" s="1"/>
  <c r="R59" i="8"/>
  <c r="AP185" i="1" s="1"/>
  <c r="S59" i="8"/>
  <c r="AQ185" i="1" s="1"/>
  <c r="T59" i="8"/>
  <c r="AR185" i="1" s="1"/>
  <c r="U59" i="8"/>
  <c r="AS185" i="1" s="1"/>
  <c r="V59" i="8"/>
  <c r="AT185" i="1" s="1"/>
  <c r="W59" i="8"/>
  <c r="AU185" i="1" s="1"/>
  <c r="X59" i="8"/>
  <c r="AV185" i="1" s="1"/>
  <c r="Y59" i="8"/>
  <c r="AW185" i="1" s="1"/>
  <c r="Z59" i="8"/>
  <c r="AX185" i="1" s="1"/>
  <c r="AA59" i="8"/>
  <c r="AY185" i="1" s="1"/>
  <c r="AB59" i="8"/>
  <c r="AZ185" i="1" s="1"/>
  <c r="AC59" i="8"/>
  <c r="BA185" i="1" s="1"/>
  <c r="F62" i="8"/>
  <c r="G62" i="8"/>
  <c r="H62" i="8"/>
  <c r="I62" i="8"/>
  <c r="J62" i="8"/>
  <c r="K62" i="8"/>
  <c r="L62" i="8"/>
  <c r="M62" i="8"/>
  <c r="N62" i="8"/>
  <c r="O62" i="8"/>
  <c r="P62" i="8"/>
  <c r="Q62" i="8"/>
  <c r="AO179" i="1" s="1"/>
  <c r="AO176" i="1" s="1"/>
  <c r="K176" i="1" s="1"/>
  <c r="R62" i="8"/>
  <c r="AP179" i="1" s="1"/>
  <c r="AP176" i="1" s="1"/>
  <c r="S62" i="8"/>
  <c r="AQ179" i="1" s="1"/>
  <c r="AQ176" i="1" s="1"/>
  <c r="T62" i="8"/>
  <c r="AR179" i="1" s="1"/>
  <c r="U62" i="8"/>
  <c r="AS179" i="1" s="1"/>
  <c r="AS176" i="1" s="1"/>
  <c r="L176" i="1" s="1"/>
  <c r="V62" i="8"/>
  <c r="AT179" i="1" s="1"/>
  <c r="AT176" i="1" s="1"/>
  <c r="W62" i="8"/>
  <c r="AU179" i="1" s="1"/>
  <c r="AU176" i="1" s="1"/>
  <c r="X62" i="8"/>
  <c r="AV179" i="1" s="1"/>
  <c r="Y62" i="8"/>
  <c r="AW179" i="1" s="1"/>
  <c r="AW176" i="1" s="1"/>
  <c r="M176" i="1" s="1"/>
  <c r="Z62" i="8"/>
  <c r="AX179" i="1" s="1"/>
  <c r="AX176" i="1" s="1"/>
  <c r="AA62" i="8"/>
  <c r="AY179" i="1" s="1"/>
  <c r="AY176" i="1" s="1"/>
  <c r="AB62" i="8"/>
  <c r="AZ179" i="1" s="1"/>
  <c r="AC62" i="8"/>
  <c r="BA179" i="1" s="1"/>
  <c r="BA176" i="1" s="1"/>
  <c r="N176" i="1" s="1"/>
  <c r="AD179" i="1"/>
  <c r="AD86" i="1" s="1"/>
  <c r="AE179" i="1"/>
  <c r="AE176" i="1" s="1"/>
  <c r="AE177" i="1" s="1"/>
  <c r="AF179" i="1"/>
  <c r="AF176" i="1" s="1"/>
  <c r="AG179" i="1"/>
  <c r="AG176" i="1" s="1"/>
  <c r="I176" i="1" s="1"/>
  <c r="AH179" i="1"/>
  <c r="AH176" i="1" s="1"/>
  <c r="AI179" i="1"/>
  <c r="AI176" i="1" s="1"/>
  <c r="AJ179" i="1"/>
  <c r="AJ176" i="1" s="1"/>
  <c r="AK179" i="1"/>
  <c r="AK176" i="1" s="1"/>
  <c r="J176" i="1" s="1"/>
  <c r="AL179" i="1"/>
  <c r="AL176" i="1" s="1"/>
  <c r="AM179" i="1"/>
  <c r="AM176" i="1" s="1"/>
  <c r="AN179" i="1"/>
  <c r="AD118" i="14" l="1"/>
  <c r="AE118" i="14"/>
  <c r="AG118" i="14"/>
  <c r="AF118" i="14"/>
  <c r="AD29" i="14"/>
  <c r="AD22" i="14" s="1"/>
  <c r="AE29" i="14"/>
  <c r="AE22" i="14" s="1"/>
  <c r="AG29" i="14"/>
  <c r="AG22" i="14" s="1"/>
  <c r="AF29" i="14"/>
  <c r="AF22" i="14" s="1"/>
  <c r="AI69" i="13"/>
  <c r="AM69" i="13" s="1"/>
  <c r="AQ69" i="13" s="1"/>
  <c r="AU69" i="13" s="1"/>
  <c r="AY69" i="13" s="1"/>
  <c r="AH69" i="13"/>
  <c r="AL69" i="13" s="1"/>
  <c r="AP69" i="13" s="1"/>
  <c r="AT69" i="13" s="1"/>
  <c r="AX69" i="13" s="1"/>
  <c r="AD13" i="20"/>
  <c r="AD12" i="20" s="1"/>
  <c r="AD9" i="9"/>
  <c r="AJ69" i="13"/>
  <c r="AN69" i="13" s="1"/>
  <c r="AR69" i="13" s="1"/>
  <c r="AV69" i="13" s="1"/>
  <c r="AZ69" i="13" s="1"/>
  <c r="AF13" i="20"/>
  <c r="AD10" i="9"/>
  <c r="AF10" i="9"/>
  <c r="AF8" i="9" s="1"/>
  <c r="AF14" i="20"/>
  <c r="AD26" i="13"/>
  <c r="AD28" i="13"/>
  <c r="AD85" i="13"/>
  <c r="AD86" i="13" s="1"/>
  <c r="AF85" i="13"/>
  <c r="AF86" i="13" s="1"/>
  <c r="AH70" i="13"/>
  <c r="AH14" i="26" s="1"/>
  <c r="AD21" i="9"/>
  <c r="AD20" i="9" s="1"/>
  <c r="AK69" i="13"/>
  <c r="AO69" i="13" s="1"/>
  <c r="AS69" i="13" s="1"/>
  <c r="AW69" i="13" s="1"/>
  <c r="BA69" i="13" s="1"/>
  <c r="AI70" i="13"/>
  <c r="AK13" i="13"/>
  <c r="AG9" i="9"/>
  <c r="AG13" i="20"/>
  <c r="AG85" i="13"/>
  <c r="AG86" i="13" s="1"/>
  <c r="AG14" i="26"/>
  <c r="AK70" i="13"/>
  <c r="AG10" i="9"/>
  <c r="AG14" i="20"/>
  <c r="AJ70" i="13"/>
  <c r="AE14" i="20"/>
  <c r="AE85" i="13"/>
  <c r="AE86" i="13" s="1"/>
  <c r="AE9" i="9"/>
  <c r="AE8" i="9" s="1"/>
  <c r="AE13" i="20"/>
  <c r="AI13" i="13"/>
  <c r="AD68" i="13"/>
  <c r="AG68" i="13"/>
  <c r="AG12" i="13"/>
  <c r="AG19" i="13" s="1"/>
  <c r="N185" i="1"/>
  <c r="L185" i="1"/>
  <c r="J185" i="1"/>
  <c r="AF68" i="13"/>
  <c r="M185" i="1"/>
  <c r="K185" i="1"/>
  <c r="I185" i="1"/>
  <c r="AE68" i="13"/>
  <c r="AD13" i="9"/>
  <c r="AD17" i="20"/>
  <c r="AH17" i="14"/>
  <c r="AD33" i="14"/>
  <c r="I17" i="14"/>
  <c r="AG13" i="9"/>
  <c r="AG17" i="20"/>
  <c r="AK17" i="14"/>
  <c r="AG33" i="14"/>
  <c r="AF13" i="9"/>
  <c r="AF17" i="20"/>
  <c r="AJ17" i="14"/>
  <c r="AF33" i="14"/>
  <c r="AE13" i="9"/>
  <c r="AE17" i="20"/>
  <c r="AI17" i="14"/>
  <c r="AE33" i="14"/>
  <c r="AD14" i="16"/>
  <c r="AD22" i="16"/>
  <c r="AD9" i="16"/>
  <c r="AE10" i="16"/>
  <c r="AD19" i="16"/>
  <c r="AD87" i="13"/>
  <c r="AH89" i="13"/>
  <c r="AG87" i="13"/>
  <c r="AK89" i="13"/>
  <c r="AF87" i="13"/>
  <c r="AJ89" i="13"/>
  <c r="AE87" i="13"/>
  <c r="AI89" i="13"/>
  <c r="AK14" i="13"/>
  <c r="AG17" i="13"/>
  <c r="AG26" i="13"/>
  <c r="AG28" i="13"/>
  <c r="AJ14" i="13"/>
  <c r="AF17" i="13"/>
  <c r="AF28" i="13"/>
  <c r="AJ13" i="13"/>
  <c r="AF12" i="13"/>
  <c r="AF20" i="13"/>
  <c r="AF26" i="13"/>
  <c r="AF27" i="13"/>
  <c r="AG27" i="13"/>
  <c r="AE17" i="13"/>
  <c r="AE26" i="13"/>
  <c r="AE28" i="13"/>
  <c r="AI14" i="13"/>
  <c r="AE12" i="13"/>
  <c r="AD17" i="13"/>
  <c r="AH14" i="13"/>
  <c r="I14" i="13"/>
  <c r="AD12" i="13"/>
  <c r="I13" i="13"/>
  <c r="AD20" i="13"/>
  <c r="AE27" i="13"/>
  <c r="AH13" i="13"/>
  <c r="AG20" i="13"/>
  <c r="AF183" i="1"/>
  <c r="AE184" i="1"/>
  <c r="AE187" i="1"/>
  <c r="AE25" i="1"/>
  <c r="AF175" i="1"/>
  <c r="AF177" i="1" s="1"/>
  <c r="AE20" i="13"/>
  <c r="AE190" i="1"/>
  <c r="AA85" i="21"/>
  <c r="AZ86" i="1"/>
  <c r="W85" i="21"/>
  <c r="AV86" i="1"/>
  <c r="S85" i="21"/>
  <c r="AR86" i="1"/>
  <c r="O85" i="21"/>
  <c r="AN86" i="1"/>
  <c r="K85" i="21"/>
  <c r="AJ86" i="1"/>
  <c r="G85" i="21"/>
  <c r="AF86" i="1"/>
  <c r="M179" i="1"/>
  <c r="I179" i="1"/>
  <c r="Z85" i="21"/>
  <c r="AY86" i="1"/>
  <c r="V85" i="21"/>
  <c r="AU86" i="1"/>
  <c r="R85" i="21"/>
  <c r="AQ86" i="1"/>
  <c r="N85" i="21"/>
  <c r="AM86" i="1"/>
  <c r="J85" i="21"/>
  <c r="AI86" i="1"/>
  <c r="F85" i="21"/>
  <c r="AE86" i="1"/>
  <c r="L179" i="1"/>
  <c r="Y85" i="21"/>
  <c r="AX86" i="1"/>
  <c r="U85" i="21"/>
  <c r="AT86" i="1"/>
  <c r="Q85" i="21"/>
  <c r="AP86" i="1"/>
  <c r="M85" i="21"/>
  <c r="AL86" i="1"/>
  <c r="I85" i="21"/>
  <c r="AH86" i="1"/>
  <c r="K179" i="1"/>
  <c r="AB85" i="21"/>
  <c r="BA86" i="1"/>
  <c r="X85" i="21"/>
  <c r="AW86" i="1"/>
  <c r="T85" i="21"/>
  <c r="AS86" i="1"/>
  <c r="P85" i="21"/>
  <c r="AO86" i="1"/>
  <c r="L85" i="21"/>
  <c r="AK86" i="1"/>
  <c r="H85" i="21"/>
  <c r="AG86" i="1"/>
  <c r="N179" i="1"/>
  <c r="J179" i="1"/>
  <c r="AZ176" i="1"/>
  <c r="AV176" i="1"/>
  <c r="AR176" i="1"/>
  <c r="AN176" i="1"/>
  <c r="AG18" i="15"/>
  <c r="AG17" i="15"/>
  <c r="AG25" i="15"/>
  <c r="AG66" i="15"/>
  <c r="AG65" i="15" s="1"/>
  <c r="AK16" i="15"/>
  <c r="AF17" i="15"/>
  <c r="AF25" i="15"/>
  <c r="AF66" i="15"/>
  <c r="AF65" i="15" s="1"/>
  <c r="AJ16" i="15"/>
  <c r="AF18" i="15"/>
  <c r="AE17" i="15"/>
  <c r="AE25" i="15"/>
  <c r="AI16" i="15"/>
  <c r="AE18" i="15"/>
  <c r="AE66" i="15"/>
  <c r="AE65" i="15" s="1"/>
  <c r="AH16" i="15"/>
  <c r="I16" i="15"/>
  <c r="I21" i="15" s="1"/>
  <c r="AD18" i="15"/>
  <c r="AD17" i="15"/>
  <c r="AD25" i="15"/>
  <c r="AD66" i="15"/>
  <c r="AD65" i="15" s="1"/>
  <c r="AK118" i="14" l="1"/>
  <c r="AO118" i="14" s="1"/>
  <c r="AJ118" i="14"/>
  <c r="AN118" i="14" s="1"/>
  <c r="AI118" i="14"/>
  <c r="AM118" i="14" s="1"/>
  <c r="AH118" i="14"/>
  <c r="AL118" i="14" s="1"/>
  <c r="I118" i="14"/>
  <c r="AD18" i="14"/>
  <c r="AD14" i="9" s="1"/>
  <c r="AD19" i="14"/>
  <c r="AH22" i="14"/>
  <c r="AH37" i="14" s="1"/>
  <c r="AD37" i="14"/>
  <c r="AD20" i="14"/>
  <c r="AD28" i="14" s="1"/>
  <c r="AJ22" i="14"/>
  <c r="AF20" i="14"/>
  <c r="AF16" i="9" s="1"/>
  <c r="AF37" i="14"/>
  <c r="AF19" i="14"/>
  <c r="AF19" i="20" s="1"/>
  <c r="AF18" i="14"/>
  <c r="AF14" i="9" s="1"/>
  <c r="AK22" i="14"/>
  <c r="AO22" i="14" s="1"/>
  <c r="AG18" i="14"/>
  <c r="AG26" i="14" s="1"/>
  <c r="AG37" i="14"/>
  <c r="AG20" i="14"/>
  <c r="AG19" i="14"/>
  <c r="AG15" i="9" s="1"/>
  <c r="AI22" i="14"/>
  <c r="AM22" i="14" s="1"/>
  <c r="I22" i="14"/>
  <c r="I29" i="14" s="1"/>
  <c r="AE37" i="14"/>
  <c r="AE19" i="14"/>
  <c r="AE27" i="14" s="1"/>
  <c r="AE20" i="14"/>
  <c r="AE28" i="14" s="1"/>
  <c r="AE18" i="14"/>
  <c r="AE18" i="20" s="1"/>
  <c r="AD8" i="9"/>
  <c r="AF12" i="20"/>
  <c r="I10" i="9"/>
  <c r="J13" i="22" s="1"/>
  <c r="AF74" i="13"/>
  <c r="AF75" i="13" s="1"/>
  <c r="AF76" i="13" s="1"/>
  <c r="AD74" i="13"/>
  <c r="AD75" i="13" s="1"/>
  <c r="AD35" i="13" s="1"/>
  <c r="AG25" i="13"/>
  <c r="AK12" i="13"/>
  <c r="AK19" i="13" s="1"/>
  <c r="AL70" i="13"/>
  <c r="AP70" i="13" s="1"/>
  <c r="AI20" i="13"/>
  <c r="AE74" i="13"/>
  <c r="AE75" i="13" s="1"/>
  <c r="AE35" i="13" s="1"/>
  <c r="I13" i="20"/>
  <c r="AI12" i="13"/>
  <c r="AI19" i="13" s="1"/>
  <c r="AK20" i="13"/>
  <c r="AE12" i="20"/>
  <c r="I14" i="20"/>
  <c r="AG74" i="13"/>
  <c r="AG75" i="13" s="1"/>
  <c r="AG76" i="13" s="1"/>
  <c r="AI14" i="26"/>
  <c r="AM70" i="13"/>
  <c r="AG8" i="9"/>
  <c r="I9" i="9"/>
  <c r="J12" i="22" s="1"/>
  <c r="AG12" i="20"/>
  <c r="AK14" i="26"/>
  <c r="AO70" i="13"/>
  <c r="AJ14" i="26"/>
  <c r="AN70" i="13"/>
  <c r="AO13" i="13"/>
  <c r="AK13" i="20"/>
  <c r="AK9" i="9"/>
  <c r="AK68" i="13"/>
  <c r="AK82" i="14" s="1"/>
  <c r="AK83" i="14" s="1"/>
  <c r="AE58" i="13"/>
  <c r="AE53" i="13" s="1"/>
  <c r="AE82" i="14"/>
  <c r="AE83" i="14" s="1"/>
  <c r="AF58" i="13"/>
  <c r="AF53" i="13" s="1"/>
  <c r="AF82" i="14"/>
  <c r="AF83" i="14" s="1"/>
  <c r="AF94" i="14" s="1"/>
  <c r="AF93" i="14" s="1"/>
  <c r="AF97" i="14" s="1"/>
  <c r="AF96" i="14" s="1"/>
  <c r="AF99" i="14" s="1"/>
  <c r="AF85" i="14" s="1"/>
  <c r="AF87" i="14" s="1"/>
  <c r="AF63" i="14" s="1"/>
  <c r="AF62" i="14" s="1"/>
  <c r="AG58" i="13"/>
  <c r="AG53" i="13" s="1"/>
  <c r="AG82" i="14"/>
  <c r="AG83" i="14" s="1"/>
  <c r="AG94" i="14" s="1"/>
  <c r="AG93" i="14" s="1"/>
  <c r="AG97" i="14" s="1"/>
  <c r="AG96" i="14" s="1"/>
  <c r="AG99" i="14" s="1"/>
  <c r="AG85" i="14" s="1"/>
  <c r="AG87" i="14" s="1"/>
  <c r="AG63" i="14" s="1"/>
  <c r="AD58" i="13"/>
  <c r="AD53" i="13" s="1"/>
  <c r="AD82" i="14"/>
  <c r="AM13" i="13"/>
  <c r="AI9" i="9"/>
  <c r="AI13" i="20"/>
  <c r="M86" i="1"/>
  <c r="I17" i="15"/>
  <c r="AD22" i="15"/>
  <c r="AH17" i="15"/>
  <c r="AD26" i="15"/>
  <c r="AD18" i="9"/>
  <c r="AD22" i="20"/>
  <c r="AI17" i="15"/>
  <c r="AE26" i="15"/>
  <c r="AE22" i="15"/>
  <c r="AE18" i="9"/>
  <c r="AE22" i="20"/>
  <c r="J86" i="1"/>
  <c r="L86" i="1"/>
  <c r="N86" i="1"/>
  <c r="AF25" i="1"/>
  <c r="AG175" i="1"/>
  <c r="I21" i="13"/>
  <c r="I23" i="18"/>
  <c r="I20" i="13"/>
  <c r="AI17" i="13"/>
  <c r="AI26" i="13"/>
  <c r="AI28" i="13"/>
  <c r="AM14" i="13"/>
  <c r="AI85" i="13"/>
  <c r="AI86" i="13" s="1"/>
  <c r="AI10" i="9"/>
  <c r="AI14" i="20"/>
  <c r="AI68" i="13"/>
  <c r="AK87" i="13"/>
  <c r="AO89" i="13"/>
  <c r="AH87" i="13"/>
  <c r="AL89" i="13"/>
  <c r="AI13" i="9"/>
  <c r="AI17" i="20"/>
  <c r="AM17" i="14"/>
  <c r="AI33" i="14"/>
  <c r="AI104" i="14"/>
  <c r="AF30" i="9"/>
  <c r="AK13" i="9"/>
  <c r="AK17" i="20"/>
  <c r="AO17" i="14"/>
  <c r="AK33" i="14"/>
  <c r="AK104" i="14"/>
  <c r="AH13" i="9"/>
  <c r="AH17" i="20"/>
  <c r="AL17" i="14"/>
  <c r="AH33" i="14"/>
  <c r="J17" i="14"/>
  <c r="AH104" i="14"/>
  <c r="AI25" i="15"/>
  <c r="AM16" i="15"/>
  <c r="AI66" i="15"/>
  <c r="AI65" i="15" s="1"/>
  <c r="AJ25" i="15"/>
  <c r="AJ66" i="15"/>
  <c r="AJ65" i="15" s="1"/>
  <c r="AN16" i="15"/>
  <c r="AK25" i="15"/>
  <c r="AO16" i="15"/>
  <c r="AK66" i="15"/>
  <c r="AK65" i="15" s="1"/>
  <c r="AK18" i="15"/>
  <c r="AG23" i="15"/>
  <c r="AG27" i="15"/>
  <c r="AG19" i="9"/>
  <c r="AG23" i="20"/>
  <c r="AH18" i="15"/>
  <c r="I18" i="15"/>
  <c r="AD23" i="15"/>
  <c r="AD27" i="15"/>
  <c r="AD19" i="9"/>
  <c r="AD23" i="20"/>
  <c r="AE23" i="15"/>
  <c r="AE27" i="15"/>
  <c r="AI18" i="15"/>
  <c r="AE19" i="9"/>
  <c r="AE23" i="20"/>
  <c r="AF23" i="15"/>
  <c r="AF27" i="15"/>
  <c r="AJ18" i="15"/>
  <c r="AF19" i="9"/>
  <c r="AF23" i="20"/>
  <c r="AJ17" i="15"/>
  <c r="AF26" i="15"/>
  <c r="AF22" i="15"/>
  <c r="AF18" i="9"/>
  <c r="AF22" i="20"/>
  <c r="AG22" i="15"/>
  <c r="AK17" i="15"/>
  <c r="AG26" i="15"/>
  <c r="AG18" i="9"/>
  <c r="AG22" i="20"/>
  <c r="AF191" i="1"/>
  <c r="AF187" i="1"/>
  <c r="AG183" i="1"/>
  <c r="AF184" i="1"/>
  <c r="AF190" i="1"/>
  <c r="AG191" i="1" s="1"/>
  <c r="AH12" i="13"/>
  <c r="AH20" i="13"/>
  <c r="J13" i="13"/>
  <c r="AI27" i="13"/>
  <c r="AL13" i="13"/>
  <c r="AH27" i="13"/>
  <c r="AH68" i="13"/>
  <c r="AH85" i="13"/>
  <c r="AH86" i="13" s="1"/>
  <c r="AH26" i="13"/>
  <c r="AH9" i="9"/>
  <c r="AH13" i="20"/>
  <c r="I12" i="13"/>
  <c r="I19" i="13" s="1"/>
  <c r="AD19" i="13"/>
  <c r="AD25" i="13"/>
  <c r="AE25" i="13"/>
  <c r="AE19" i="13"/>
  <c r="AF19" i="13"/>
  <c r="AF25" i="13"/>
  <c r="AN14" i="13"/>
  <c r="AJ17" i="13"/>
  <c r="AJ28" i="13"/>
  <c r="AJ10" i="9"/>
  <c r="AJ14" i="20"/>
  <c r="AO14" i="13"/>
  <c r="AK17" i="13"/>
  <c r="AK26" i="13"/>
  <c r="AK28" i="13"/>
  <c r="AK85" i="13"/>
  <c r="AK86" i="13" s="1"/>
  <c r="AK10" i="9"/>
  <c r="AK14" i="20"/>
  <c r="AD13" i="16"/>
  <c r="AD17" i="16"/>
  <c r="AJ13" i="9"/>
  <c r="AJ17" i="20"/>
  <c r="AN17" i="14"/>
  <c r="AJ33" i="14"/>
  <c r="AJ104" i="14"/>
  <c r="I26" i="14"/>
  <c r="I17" i="20"/>
  <c r="AI87" i="13"/>
  <c r="AM89" i="13"/>
  <c r="AJ87" i="13"/>
  <c r="AN89" i="13"/>
  <c r="AD30" i="16"/>
  <c r="AD35" i="16"/>
  <c r="AD107" i="9"/>
  <c r="AE30" i="9"/>
  <c r="AG30" i="9"/>
  <c r="I13" i="9"/>
  <c r="AD30" i="9"/>
  <c r="K86" i="1"/>
  <c r="I49" i="18"/>
  <c r="I13" i="26" s="1"/>
  <c r="I17" i="13"/>
  <c r="I22" i="13"/>
  <c r="AN13" i="13"/>
  <c r="AJ12" i="13"/>
  <c r="AJ20" i="13"/>
  <c r="AJ26" i="13"/>
  <c r="AJ27" i="13"/>
  <c r="AK27" i="13"/>
  <c r="AJ68" i="13"/>
  <c r="AJ85" i="13"/>
  <c r="AJ86" i="13" s="1"/>
  <c r="AJ9" i="9"/>
  <c r="AJ13" i="20"/>
  <c r="AL16" i="15"/>
  <c r="J16" i="15"/>
  <c r="J21" i="15" s="1"/>
  <c r="AH25" i="15"/>
  <c r="AH66" i="15"/>
  <c r="AH65" i="15" s="1"/>
  <c r="I86" i="1"/>
  <c r="J14" i="13"/>
  <c r="AH17" i="13"/>
  <c r="AL14" i="13"/>
  <c r="AH28" i="13"/>
  <c r="AH10" i="9"/>
  <c r="AH14" i="20"/>
  <c r="AE19" i="16"/>
  <c r="AE14" i="16"/>
  <c r="AE22" i="16"/>
  <c r="AE9" i="16"/>
  <c r="AF10" i="16"/>
  <c r="AE21" i="9"/>
  <c r="AE25" i="20"/>
  <c r="AD34" i="14" l="1"/>
  <c r="AF27" i="14"/>
  <c r="AD36" i="14"/>
  <c r="AD20" i="20"/>
  <c r="AE34" i="14"/>
  <c r="AE14" i="9"/>
  <c r="AD26" i="14"/>
  <c r="J118" i="14"/>
  <c r="AF35" i="14"/>
  <c r="AD16" i="9"/>
  <c r="AD18" i="20"/>
  <c r="AF15" i="9"/>
  <c r="AF12" i="9" s="1"/>
  <c r="AE26" i="14"/>
  <c r="AI20" i="14"/>
  <c r="AI28" i="14" s="1"/>
  <c r="AE20" i="20"/>
  <c r="AE16" i="9"/>
  <c r="AG18" i="20"/>
  <c r="AI18" i="14"/>
  <c r="AI18" i="20" s="1"/>
  <c r="AJ19" i="14"/>
  <c r="AJ19" i="20" s="1"/>
  <c r="AD16" i="14"/>
  <c r="AD24" i="14" s="1"/>
  <c r="I18" i="14"/>
  <c r="I27" i="14" s="1"/>
  <c r="AK37" i="14"/>
  <c r="AK20" i="14"/>
  <c r="AK20" i="20" s="1"/>
  <c r="AE15" i="9"/>
  <c r="AG27" i="14"/>
  <c r="AJ18" i="14"/>
  <c r="AJ18" i="20" s="1"/>
  <c r="AG20" i="20"/>
  <c r="AD35" i="14"/>
  <c r="AN22" i="14"/>
  <c r="AG34" i="14"/>
  <c r="AF26" i="14"/>
  <c r="AG16" i="9"/>
  <c r="AJ20" i="14"/>
  <c r="AJ16" i="9" s="1"/>
  <c r="AD27" i="14"/>
  <c r="AD19" i="20"/>
  <c r="AF18" i="20"/>
  <c r="AD15" i="9"/>
  <c r="AF34" i="14"/>
  <c r="AG28" i="14"/>
  <c r="AH19" i="14"/>
  <c r="AH19" i="20" s="1"/>
  <c r="I19" i="14"/>
  <c r="I28" i="14" s="1"/>
  <c r="AE35" i="14"/>
  <c r="AE19" i="20"/>
  <c r="AE16" i="20" s="1"/>
  <c r="AH20" i="14"/>
  <c r="AH36" i="14" s="1"/>
  <c r="AG36" i="14"/>
  <c r="AF28" i="14"/>
  <c r="AG35" i="14"/>
  <c r="AG16" i="14"/>
  <c r="AG116" i="14" s="1"/>
  <c r="AH18" i="14"/>
  <c r="AH26" i="14" s="1"/>
  <c r="AF16" i="14"/>
  <c r="AF114" i="14" s="1"/>
  <c r="AF115" i="14" s="1"/>
  <c r="AL22" i="14"/>
  <c r="AL37" i="14" s="1"/>
  <c r="AF20" i="20"/>
  <c r="AG19" i="20"/>
  <c r="I20" i="14"/>
  <c r="AF36" i="14"/>
  <c r="AK19" i="14"/>
  <c r="AK19" i="20" s="1"/>
  <c r="AK94" i="14"/>
  <c r="AK93" i="14" s="1"/>
  <c r="AK97" i="14" s="1"/>
  <c r="AK96" i="14" s="1"/>
  <c r="AK99" i="14" s="1"/>
  <c r="AK85" i="14" s="1"/>
  <c r="AK87" i="14" s="1"/>
  <c r="AK63" i="14" s="1"/>
  <c r="AK41" i="14" s="1"/>
  <c r="AK18" i="14"/>
  <c r="AK26" i="14" s="1"/>
  <c r="AG14" i="9"/>
  <c r="AI19" i="14"/>
  <c r="AI27" i="14" s="1"/>
  <c r="AE36" i="14"/>
  <c r="AJ37" i="14"/>
  <c r="AE16" i="14"/>
  <c r="AE114" i="14" s="1"/>
  <c r="AE115" i="14" s="1"/>
  <c r="J22" i="14"/>
  <c r="J29" i="14" s="1"/>
  <c r="AI37" i="14"/>
  <c r="I8" i="9"/>
  <c r="J11" i="22" s="1"/>
  <c r="AK12" i="20"/>
  <c r="I41" i="18"/>
  <c r="I42" i="18" s="1"/>
  <c r="AL14" i="26"/>
  <c r="AF35" i="13"/>
  <c r="AD76" i="13"/>
  <c r="AF41" i="14"/>
  <c r="AF40" i="14" s="1"/>
  <c r="AJ12" i="20"/>
  <c r="AI25" i="13"/>
  <c r="AK74" i="13"/>
  <c r="AK75" i="13" s="1"/>
  <c r="AK76" i="13" s="1"/>
  <c r="I12" i="20"/>
  <c r="AE76" i="13"/>
  <c r="AH74" i="13"/>
  <c r="AH75" i="13" s="1"/>
  <c r="AH35" i="13" s="1"/>
  <c r="AK58" i="13"/>
  <c r="AK53" i="13" s="1"/>
  <c r="AK60" i="13" s="1"/>
  <c r="AG35" i="13"/>
  <c r="AG21" i="20"/>
  <c r="AJ74" i="13"/>
  <c r="AJ75" i="13" s="1"/>
  <c r="AJ35" i="13" s="1"/>
  <c r="AF21" i="20"/>
  <c r="AI12" i="20"/>
  <c r="AP14" i="26"/>
  <c r="AT70" i="13"/>
  <c r="AM14" i="26"/>
  <c r="AQ70" i="13"/>
  <c r="AO13" i="20"/>
  <c r="AS13" i="13"/>
  <c r="AO9" i="9"/>
  <c r="AO14" i="26"/>
  <c r="AS70" i="13"/>
  <c r="J10" i="9"/>
  <c r="J41" i="18" s="1"/>
  <c r="J42" i="18" s="1"/>
  <c r="AN14" i="26"/>
  <c r="AR70" i="13"/>
  <c r="I23" i="20"/>
  <c r="J14" i="20"/>
  <c r="AD64" i="13"/>
  <c r="AD55" i="13"/>
  <c r="AD56" i="13"/>
  <c r="AD60" i="13"/>
  <c r="AD54" i="13"/>
  <c r="I53" i="13"/>
  <c r="AF54" i="13"/>
  <c r="AF64" i="13"/>
  <c r="AF62" i="13" s="1"/>
  <c r="AF66" i="13" s="1"/>
  <c r="AF33" i="13" s="1"/>
  <c r="AF55" i="13"/>
  <c r="AF56" i="13"/>
  <c r="AF60" i="13"/>
  <c r="AG62" i="14"/>
  <c r="AG41" i="14"/>
  <c r="AE94" i="14"/>
  <c r="AE93" i="14" s="1"/>
  <c r="AE97" i="14" s="1"/>
  <c r="AE96" i="14" s="1"/>
  <c r="AE99" i="14" s="1"/>
  <c r="AE85" i="14" s="1"/>
  <c r="AE87" i="14" s="1"/>
  <c r="AE63" i="14" s="1"/>
  <c r="AM9" i="9"/>
  <c r="AM13" i="20"/>
  <c r="AQ13" i="13"/>
  <c r="AG54" i="13"/>
  <c r="AG55" i="13"/>
  <c r="AG56" i="13"/>
  <c r="AG64" i="13"/>
  <c r="AG62" i="13" s="1"/>
  <c r="AG66" i="13" s="1"/>
  <c r="AG33" i="13" s="1"/>
  <c r="AG60" i="13"/>
  <c r="AE54" i="13"/>
  <c r="AE55" i="13"/>
  <c r="AE56" i="13"/>
  <c r="AE64" i="13"/>
  <c r="AE62" i="13" s="1"/>
  <c r="AE66" i="13" s="1"/>
  <c r="AE33" i="13" s="1"/>
  <c r="AE60" i="13"/>
  <c r="I82" i="14"/>
  <c r="AD83" i="14"/>
  <c r="AD94" i="14" s="1"/>
  <c r="AD93" i="14" s="1"/>
  <c r="AD97" i="14" s="1"/>
  <c r="AD96" i="14" s="1"/>
  <c r="AD99" i="14" s="1"/>
  <c r="AD85" i="14" s="1"/>
  <c r="AP16" i="15"/>
  <c r="K16" i="15"/>
  <c r="K21" i="15" s="1"/>
  <c r="AL25" i="15"/>
  <c r="AL66" i="15"/>
  <c r="AL65" i="15" s="1"/>
  <c r="AR13" i="13"/>
  <c r="AN12" i="13"/>
  <c r="AN20" i="13"/>
  <c r="AN26" i="13"/>
  <c r="AN27" i="13"/>
  <c r="AO27" i="13"/>
  <c r="AN68" i="13"/>
  <c r="AN85" i="13"/>
  <c r="AN86" i="13" s="1"/>
  <c r="AN9" i="9"/>
  <c r="AN13" i="20"/>
  <c r="AN13" i="9"/>
  <c r="AN17" i="20"/>
  <c r="AR17" i="14"/>
  <c r="AN33" i="14"/>
  <c r="AN104" i="14"/>
  <c r="AH12" i="20"/>
  <c r="J13" i="20"/>
  <c r="H84" i="21"/>
  <c r="AG90" i="1"/>
  <c r="G84" i="21"/>
  <c r="AF90" i="1"/>
  <c r="I191" i="1"/>
  <c r="J54" i="22" s="1"/>
  <c r="AG31" i="9"/>
  <c r="AG17" i="9"/>
  <c r="AN17" i="15"/>
  <c r="AJ26" i="15"/>
  <c r="AJ22" i="15"/>
  <c r="AJ18" i="9"/>
  <c r="AJ22" i="20"/>
  <c r="AI23" i="15"/>
  <c r="AI27" i="15"/>
  <c r="AM18" i="15"/>
  <c r="AI19" i="9"/>
  <c r="AI23" i="20"/>
  <c r="I19" i="9"/>
  <c r="J22" i="22" s="1"/>
  <c r="J18" i="15"/>
  <c r="AL18" i="15"/>
  <c r="AH23" i="15"/>
  <c r="AH27" i="15"/>
  <c r="AH19" i="9"/>
  <c r="AH23" i="20"/>
  <c r="AR118" i="14"/>
  <c r="J26" i="14"/>
  <c r="J17" i="20"/>
  <c r="AO13" i="9"/>
  <c r="AO17" i="20"/>
  <c r="AS17" i="14"/>
  <c r="AO33" i="14"/>
  <c r="AO104" i="14"/>
  <c r="AL87" i="13"/>
  <c r="AP89" i="13"/>
  <c r="AI8" i="9"/>
  <c r="I13" i="18"/>
  <c r="I24" i="18"/>
  <c r="AE17" i="9"/>
  <c r="AE31" i="9"/>
  <c r="AD21" i="20"/>
  <c r="I22" i="20"/>
  <c r="AE24" i="20"/>
  <c r="AJ8" i="9"/>
  <c r="AJ19" i="13"/>
  <c r="AJ25" i="13"/>
  <c r="AS22" i="14"/>
  <c r="AF9" i="16"/>
  <c r="AG10" i="16"/>
  <c r="I10" i="16" s="1"/>
  <c r="AF19" i="16"/>
  <c r="AF14" i="16"/>
  <c r="AF22" i="16"/>
  <c r="AF21" i="9"/>
  <c r="AF20" i="9" s="1"/>
  <c r="AF25" i="20"/>
  <c r="AF24" i="20" s="1"/>
  <c r="AL17" i="13"/>
  <c r="K14" i="13"/>
  <c r="AP14" i="13"/>
  <c r="AL28" i="13"/>
  <c r="AL10" i="9"/>
  <c r="AL14" i="20"/>
  <c r="AJ58" i="13"/>
  <c r="AJ53" i="13" s="1"/>
  <c r="AJ82" i="14"/>
  <c r="AJ83" i="14" s="1"/>
  <c r="AJ94" i="14" s="1"/>
  <c r="AJ93" i="14" s="1"/>
  <c r="AJ97" i="14" s="1"/>
  <c r="AJ96" i="14" s="1"/>
  <c r="AJ99" i="14" s="1"/>
  <c r="AJ85" i="14" s="1"/>
  <c r="AJ87" i="14" s="1"/>
  <c r="AJ63" i="14" s="1"/>
  <c r="AD108" i="9"/>
  <c r="AM87" i="13"/>
  <c r="AQ89" i="13"/>
  <c r="K118" i="14"/>
  <c r="AP118" i="14"/>
  <c r="AK8" i="9"/>
  <c r="AH8" i="9"/>
  <c r="J9" i="9"/>
  <c r="AH58" i="13"/>
  <c r="AH53" i="13" s="1"/>
  <c r="AH82" i="14"/>
  <c r="J21" i="13"/>
  <c r="J23" i="18"/>
  <c r="J20" i="13"/>
  <c r="AF31" i="9"/>
  <c r="AF17" i="9"/>
  <c r="AO18" i="15"/>
  <c r="AK23" i="15"/>
  <c r="AK27" i="15"/>
  <c r="AK19" i="9"/>
  <c r="AK23" i="20"/>
  <c r="AN25" i="15"/>
  <c r="AN66" i="15"/>
  <c r="AN65" i="15" s="1"/>
  <c r="AR16" i="15"/>
  <c r="AM25" i="15"/>
  <c r="AQ16" i="15"/>
  <c r="AM66" i="15"/>
  <c r="AM65" i="15" s="1"/>
  <c r="J13" i="9"/>
  <c r="AH30" i="9"/>
  <c r="AM13" i="9"/>
  <c r="AM17" i="20"/>
  <c r="AQ17" i="14"/>
  <c r="AM33" i="14"/>
  <c r="AM104" i="14"/>
  <c r="AI74" i="13"/>
  <c r="AI75" i="13" s="1"/>
  <c r="AD17" i="9"/>
  <c r="I18" i="9"/>
  <c r="AD31" i="9"/>
  <c r="I23" i="15"/>
  <c r="I22" i="15"/>
  <c r="AE30" i="16"/>
  <c r="AE108" i="9" s="1"/>
  <c r="AE35" i="16"/>
  <c r="AE107" i="9"/>
  <c r="AE20" i="9"/>
  <c r="AK25" i="13"/>
  <c r="AE13" i="16"/>
  <c r="AE17" i="16"/>
  <c r="I30" i="9"/>
  <c r="J16" i="22"/>
  <c r="AN87" i="13"/>
  <c r="AR89" i="13"/>
  <c r="AQ118" i="14"/>
  <c r="AQ22" i="14"/>
  <c r="AR14" i="13"/>
  <c r="AN17" i="13"/>
  <c r="AN28" i="13"/>
  <c r="AN10" i="9"/>
  <c r="AN14" i="20"/>
  <c r="AG187" i="1"/>
  <c r="AH183" i="1"/>
  <c r="AG184" i="1"/>
  <c r="I184" i="1" s="1"/>
  <c r="J53" i="22" s="1"/>
  <c r="J56" i="22" s="1"/>
  <c r="I183" i="1"/>
  <c r="I187" i="1" s="1"/>
  <c r="AK22" i="15"/>
  <c r="AO17" i="15"/>
  <c r="AK26" i="15"/>
  <c r="AK18" i="9"/>
  <c r="AK22" i="20"/>
  <c r="AK30" i="9"/>
  <c r="AI58" i="13"/>
  <c r="AI53" i="13" s="1"/>
  <c r="AI82" i="14"/>
  <c r="AI83" i="14" s="1"/>
  <c r="AI94" i="14" s="1"/>
  <c r="AI93" i="14" s="1"/>
  <c r="AI97" i="14" s="1"/>
  <c r="AI96" i="14" s="1"/>
  <c r="AI99" i="14" s="1"/>
  <c r="AI85" i="14" s="1"/>
  <c r="AI87" i="14" s="1"/>
  <c r="AI63" i="14" s="1"/>
  <c r="AM17" i="13"/>
  <c r="AM26" i="13"/>
  <c r="AM28" i="13"/>
  <c r="AQ14" i="13"/>
  <c r="AM85" i="13"/>
  <c r="AM86" i="13" s="1"/>
  <c r="AM10" i="9"/>
  <c r="AM14" i="20"/>
  <c r="AM12" i="13"/>
  <c r="AM68" i="13"/>
  <c r="AM20" i="13"/>
  <c r="I175" i="1"/>
  <c r="AG177" i="1"/>
  <c r="AG190" i="1" s="1"/>
  <c r="AH191" i="1" s="1"/>
  <c r="J49" i="18"/>
  <c r="J13" i="26" s="1"/>
  <c r="J17" i="13"/>
  <c r="J22" i="13"/>
  <c r="AF13" i="26"/>
  <c r="AF28" i="20" s="1"/>
  <c r="AG13" i="26"/>
  <c r="AG28" i="20" s="1"/>
  <c r="AD13" i="26"/>
  <c r="AD28" i="20" s="1"/>
  <c r="AE13" i="26"/>
  <c r="AE28" i="20" s="1"/>
  <c r="AS118" i="14"/>
  <c r="AD86" i="20"/>
  <c r="AJ30" i="9"/>
  <c r="AS14" i="13"/>
  <c r="AO17" i="13"/>
  <c r="AO26" i="13"/>
  <c r="AO28" i="13"/>
  <c r="AO85" i="13"/>
  <c r="AO86" i="13" s="1"/>
  <c r="AO10" i="9"/>
  <c r="AO14" i="20"/>
  <c r="AO68" i="13"/>
  <c r="AO12" i="13"/>
  <c r="AO20" i="13"/>
  <c r="AL12" i="13"/>
  <c r="AL20" i="13"/>
  <c r="AM27" i="13"/>
  <c r="K13" i="13"/>
  <c r="AP13" i="13"/>
  <c r="AL26" i="13"/>
  <c r="AL27" i="13"/>
  <c r="AL68" i="13"/>
  <c r="AL85" i="13"/>
  <c r="AL86" i="13" s="1"/>
  <c r="AL9" i="9"/>
  <c r="AL13" i="20"/>
  <c r="J12" i="13"/>
  <c r="J19" i="13" s="1"/>
  <c r="AH19" i="13"/>
  <c r="AH25" i="13"/>
  <c r="AJ23" i="15"/>
  <c r="AJ27" i="15"/>
  <c r="AN18" i="15"/>
  <c r="AJ19" i="9"/>
  <c r="AJ23" i="20"/>
  <c r="AO25" i="15"/>
  <c r="AS16" i="15"/>
  <c r="AO66" i="15"/>
  <c r="AO65" i="15" s="1"/>
  <c r="AL13" i="9"/>
  <c r="AL17" i="20"/>
  <c r="K17" i="14"/>
  <c r="AP17" i="14"/>
  <c r="AL33" i="14"/>
  <c r="AL104" i="14"/>
  <c r="AI30" i="9"/>
  <c r="AO87" i="13"/>
  <c r="AS89" i="13"/>
  <c r="AE21" i="20"/>
  <c r="AM17" i="15"/>
  <c r="AI26" i="15"/>
  <c r="AI22" i="15"/>
  <c r="AI18" i="9"/>
  <c r="AI22" i="20"/>
  <c r="J17" i="15"/>
  <c r="AH22" i="15"/>
  <c r="AL17" i="15"/>
  <c r="AH26" i="15"/>
  <c r="AH18" i="9"/>
  <c r="AH22" i="20"/>
  <c r="AF16" i="20" l="1"/>
  <c r="I60" i="13"/>
  <c r="I58" i="13"/>
  <c r="I56" i="13"/>
  <c r="I55" i="13"/>
  <c r="I54" i="13"/>
  <c r="AD62" i="13"/>
  <c r="AD66" i="13" s="1"/>
  <c r="I64" i="13"/>
  <c r="AK34" i="14"/>
  <c r="AI14" i="9"/>
  <c r="AF116" i="14"/>
  <c r="AF109" i="14" s="1"/>
  <c r="AF110" i="14" s="1"/>
  <c r="AF65" i="14" s="1"/>
  <c r="AI20" i="20"/>
  <c r="I14" i="9"/>
  <c r="J17" i="22" s="1"/>
  <c r="AJ14" i="9"/>
  <c r="AD114" i="14"/>
  <c r="AD115" i="14" s="1"/>
  <c r="AJ28" i="14"/>
  <c r="AD16" i="20"/>
  <c r="I25" i="14"/>
  <c r="AE12" i="9"/>
  <c r="AJ15" i="9"/>
  <c r="AH15" i="9"/>
  <c r="AD116" i="14"/>
  <c r="AI16" i="9"/>
  <c r="AK18" i="20"/>
  <c r="AK16" i="20" s="1"/>
  <c r="AJ34" i="14"/>
  <c r="AD12" i="9"/>
  <c r="AM18" i="14"/>
  <c r="AQ18" i="14" s="1"/>
  <c r="AI26" i="14"/>
  <c r="AM20" i="14"/>
  <c r="AM28" i="14" s="1"/>
  <c r="AO18" i="14"/>
  <c r="AS18" i="14" s="1"/>
  <c r="AK14" i="9"/>
  <c r="AJ26" i="14"/>
  <c r="AF24" i="14"/>
  <c r="I18" i="20"/>
  <c r="AK62" i="14"/>
  <c r="AJ16" i="14"/>
  <c r="AJ116" i="14" s="1"/>
  <c r="AO19" i="14"/>
  <c r="AS19" i="14" s="1"/>
  <c r="AH18" i="20"/>
  <c r="AD32" i="14"/>
  <c r="AJ27" i="14"/>
  <c r="AP22" i="14"/>
  <c r="AQ37" i="14" s="1"/>
  <c r="AK28" i="14"/>
  <c r="AM37" i="14"/>
  <c r="AK16" i="9"/>
  <c r="AO20" i="14"/>
  <c r="AO20" i="20" s="1"/>
  <c r="AF32" i="14"/>
  <c r="AE32" i="14"/>
  <c r="AK36" i="14"/>
  <c r="AG16" i="20"/>
  <c r="I16" i="20" s="1"/>
  <c r="AL18" i="14"/>
  <c r="AL18" i="20" s="1"/>
  <c r="AE24" i="14"/>
  <c r="AL19" i="14"/>
  <c r="AL27" i="14" s="1"/>
  <c r="AG12" i="9"/>
  <c r="AH35" i="14"/>
  <c r="AK15" i="9"/>
  <c r="AH27" i="14"/>
  <c r="AM19" i="14"/>
  <c r="AM19" i="20" s="1"/>
  <c r="I16" i="9"/>
  <c r="J19" i="22" s="1"/>
  <c r="AG114" i="14"/>
  <c r="AG115" i="14" s="1"/>
  <c r="AG109" i="14" s="1"/>
  <c r="AG110" i="14" s="1"/>
  <c r="AG65" i="14" s="1"/>
  <c r="AG70" i="14" s="1"/>
  <c r="AN18" i="14"/>
  <c r="AN14" i="9" s="1"/>
  <c r="I15" i="9"/>
  <c r="J18" i="22" s="1"/>
  <c r="AN19" i="14"/>
  <c r="AN19" i="20" s="1"/>
  <c r="I16" i="14"/>
  <c r="I24" i="14" s="1"/>
  <c r="I19" i="20"/>
  <c r="K22" i="14"/>
  <c r="K29" i="14" s="1"/>
  <c r="J18" i="14"/>
  <c r="J27" i="14" s="1"/>
  <c r="AH14" i="9"/>
  <c r="AN20" i="14"/>
  <c r="AN28" i="14" s="1"/>
  <c r="AJ20" i="20"/>
  <c r="AJ16" i="20" s="1"/>
  <c r="AI34" i="14"/>
  <c r="J20" i="14"/>
  <c r="AN37" i="14"/>
  <c r="AH34" i="14"/>
  <c r="AJ36" i="14"/>
  <c r="AR22" i="14"/>
  <c r="AO37" i="14"/>
  <c r="AI16" i="14"/>
  <c r="AI114" i="14" s="1"/>
  <c r="AI115" i="14" s="1"/>
  <c r="AH28" i="14"/>
  <c r="AH20" i="20"/>
  <c r="AI36" i="14"/>
  <c r="AI19" i="20"/>
  <c r="AH16" i="14"/>
  <c r="AH114" i="14" s="1"/>
  <c r="AH115" i="14" s="1"/>
  <c r="AK35" i="14"/>
  <c r="AL20" i="14"/>
  <c r="AH16" i="9"/>
  <c r="J19" i="14"/>
  <c r="J28" i="14" s="1"/>
  <c r="AI35" i="14"/>
  <c r="AI15" i="9"/>
  <c r="AJ35" i="14"/>
  <c r="AK27" i="14"/>
  <c r="I20" i="20"/>
  <c r="AG32" i="14"/>
  <c r="AG24" i="14"/>
  <c r="AK16" i="14"/>
  <c r="AK116" i="14" s="1"/>
  <c r="AE116" i="14"/>
  <c r="AE109" i="14" s="1"/>
  <c r="AE110" i="14" s="1"/>
  <c r="AE65" i="14" s="1"/>
  <c r="I35" i="13"/>
  <c r="AH76" i="13"/>
  <c r="AF89" i="9"/>
  <c r="AF68" i="20" s="1"/>
  <c r="AO12" i="20"/>
  <c r="AJ76" i="13"/>
  <c r="AK35" i="13"/>
  <c r="AK54" i="13"/>
  <c r="AI21" i="20"/>
  <c r="I17" i="9"/>
  <c r="J20" i="22" s="1"/>
  <c r="AK56" i="13"/>
  <c r="AK55" i="13"/>
  <c r="AK64" i="13"/>
  <c r="AK62" i="13" s="1"/>
  <c r="AK66" i="13" s="1"/>
  <c r="AK33" i="13" s="1"/>
  <c r="AL74" i="13"/>
  <c r="AL75" i="13" s="1"/>
  <c r="AL76" i="13" s="1"/>
  <c r="AM74" i="13"/>
  <c r="AM75" i="13" s="1"/>
  <c r="AM35" i="13" s="1"/>
  <c r="AQ14" i="26"/>
  <c r="AU70" i="13"/>
  <c r="AK21" i="20"/>
  <c r="AT14" i="26"/>
  <c r="AX70" i="13"/>
  <c r="AX14" i="26" s="1"/>
  <c r="AM12" i="20"/>
  <c r="K13" i="22"/>
  <c r="AR14" i="26"/>
  <c r="AV70" i="13"/>
  <c r="AS13" i="20"/>
  <c r="AS9" i="9"/>
  <c r="AW13" i="13"/>
  <c r="AS14" i="26"/>
  <c r="AW70" i="13"/>
  <c r="I85" i="14"/>
  <c r="AD87" i="14"/>
  <c r="AG32" i="13"/>
  <c r="AG41" i="13" s="1"/>
  <c r="AG44" i="13" s="1"/>
  <c r="AG80" i="9"/>
  <c r="AG59" i="20" s="1"/>
  <c r="AU13" i="13"/>
  <c r="AQ9" i="9"/>
  <c r="AQ13" i="20"/>
  <c r="I83" i="14"/>
  <c r="AG89" i="9"/>
  <c r="AG68" i="20" s="1"/>
  <c r="AG40" i="14"/>
  <c r="AF32" i="13"/>
  <c r="AF41" i="13" s="1"/>
  <c r="AF44" i="13" s="1"/>
  <c r="AF80" i="9"/>
  <c r="AF59" i="20" s="1"/>
  <c r="AO74" i="13"/>
  <c r="AO75" i="13" s="1"/>
  <c r="AO35" i="13" s="1"/>
  <c r="AE80" i="9"/>
  <c r="AE59" i="20" s="1"/>
  <c r="AE32" i="13"/>
  <c r="AE41" i="13" s="1"/>
  <c r="AE44" i="13" s="1"/>
  <c r="AE62" i="14"/>
  <c r="AE41" i="14"/>
  <c r="AH17" i="9"/>
  <c r="J18" i="9"/>
  <c r="AH31" i="9"/>
  <c r="AP13" i="9"/>
  <c r="AP17" i="20"/>
  <c r="L17" i="14"/>
  <c r="AT17" i="14"/>
  <c r="AP33" i="14"/>
  <c r="AP104" i="14"/>
  <c r="AL8" i="9"/>
  <c r="K9" i="9"/>
  <c r="AO19" i="13"/>
  <c r="AO25" i="13"/>
  <c r="AW118" i="14"/>
  <c r="K26" i="14"/>
  <c r="AS25" i="15"/>
  <c r="AW16" i="15"/>
  <c r="AS66" i="15"/>
  <c r="AS65" i="15" s="1"/>
  <c r="AN23" i="15"/>
  <c r="AN27" i="15"/>
  <c r="AR18" i="15"/>
  <c r="AN19" i="9"/>
  <c r="AN23" i="20"/>
  <c r="AO58" i="13"/>
  <c r="AO53" i="13" s="1"/>
  <c r="AO82" i="14"/>
  <c r="AO83" i="14" s="1"/>
  <c r="AO94" i="14" s="1"/>
  <c r="AO93" i="14" s="1"/>
  <c r="AO97" i="14" s="1"/>
  <c r="AO96" i="14" s="1"/>
  <c r="AO99" i="14" s="1"/>
  <c r="AO85" i="14" s="1"/>
  <c r="AO87" i="14" s="1"/>
  <c r="AO63" i="14" s="1"/>
  <c r="AW14" i="13"/>
  <c r="AS17" i="13"/>
  <c r="AS26" i="13"/>
  <c r="AS28" i="13"/>
  <c r="AS85" i="13"/>
  <c r="AS86" i="13" s="1"/>
  <c r="AS10" i="9"/>
  <c r="AS14" i="20"/>
  <c r="AS20" i="13"/>
  <c r="AS68" i="13"/>
  <c r="AS12" i="13"/>
  <c r="AV14" i="13"/>
  <c r="AR17" i="13"/>
  <c r="AR28" i="13"/>
  <c r="AR10" i="9"/>
  <c r="AR14" i="20"/>
  <c r="AU22" i="14"/>
  <c r="AU118" i="14"/>
  <c r="AM30" i="9"/>
  <c r="AR25" i="15"/>
  <c r="AV16" i="15"/>
  <c r="AR66" i="15"/>
  <c r="AR65" i="15" s="1"/>
  <c r="J13" i="18"/>
  <c r="J24" i="18"/>
  <c r="K12" i="22"/>
  <c r="AD87" i="20"/>
  <c r="K14" i="20"/>
  <c r="K49" i="18"/>
  <c r="K13" i="26" s="1"/>
  <c r="K17" i="13"/>
  <c r="K22" i="13"/>
  <c r="AG14" i="16"/>
  <c r="AG22" i="16"/>
  <c r="AG9" i="16"/>
  <c r="I9" i="16" s="1"/>
  <c r="I13" i="16" s="1"/>
  <c r="AH10" i="16"/>
  <c r="AG19" i="16"/>
  <c r="AG21" i="9"/>
  <c r="AG25" i="20"/>
  <c r="AG24" i="20" s="1"/>
  <c r="AW22" i="14"/>
  <c r="AO30" i="9"/>
  <c r="J12" i="20"/>
  <c r="AN30" i="9"/>
  <c r="AN74" i="13"/>
  <c r="AN75" i="13" s="1"/>
  <c r="AV13" i="13"/>
  <c r="AR12" i="13"/>
  <c r="AR20" i="13"/>
  <c r="AR26" i="13"/>
  <c r="AR27" i="13"/>
  <c r="AS27" i="13"/>
  <c r="AR68" i="13"/>
  <c r="AR85" i="13"/>
  <c r="AR86" i="13" s="1"/>
  <c r="AR9" i="9"/>
  <c r="AR13" i="20"/>
  <c r="L16" i="15"/>
  <c r="L21" i="15" s="1"/>
  <c r="AT16" i="15"/>
  <c r="AP25" i="15"/>
  <c r="AP66" i="15"/>
  <c r="AP65" i="15" s="1"/>
  <c r="K13" i="9"/>
  <c r="AL30" i="9"/>
  <c r="J22" i="15"/>
  <c r="J23" i="15"/>
  <c r="AS87" i="13"/>
  <c r="AW89" i="13"/>
  <c r="AQ17" i="15"/>
  <c r="AM26" i="15"/>
  <c r="AM22" i="15"/>
  <c r="AM18" i="9"/>
  <c r="AM22" i="20"/>
  <c r="AE15" i="26"/>
  <c r="AE30" i="26"/>
  <c r="AE24" i="9"/>
  <c r="AK89" i="9"/>
  <c r="AK40" i="14"/>
  <c r="AM58" i="13"/>
  <c r="AM53" i="13" s="1"/>
  <c r="AM82" i="14"/>
  <c r="AM83" i="14" s="1"/>
  <c r="AM94" i="14" s="1"/>
  <c r="AM93" i="14" s="1"/>
  <c r="AM97" i="14" s="1"/>
  <c r="AM96" i="14" s="1"/>
  <c r="AM99" i="14" s="1"/>
  <c r="AM85" i="14" s="1"/>
  <c r="AM87" i="14" s="1"/>
  <c r="AM63" i="14" s="1"/>
  <c r="AL22" i="15"/>
  <c r="K17" i="15"/>
  <c r="AP17" i="15"/>
  <c r="AL26" i="15"/>
  <c r="AL18" i="9"/>
  <c r="AL22" i="20"/>
  <c r="AI17" i="9"/>
  <c r="AI31" i="9"/>
  <c r="K17" i="20"/>
  <c r="AL58" i="13"/>
  <c r="AL53" i="13" s="1"/>
  <c r="AL82" i="14"/>
  <c r="AP12" i="13"/>
  <c r="AP20" i="13"/>
  <c r="AQ27" i="13"/>
  <c r="L13" i="13"/>
  <c r="AT13" i="13"/>
  <c r="AP26" i="13"/>
  <c r="AP68" i="13"/>
  <c r="AP85" i="13"/>
  <c r="AP86" i="13" s="1"/>
  <c r="AP27" i="13"/>
  <c r="AP9" i="9"/>
  <c r="AP13" i="20"/>
  <c r="AL19" i="13"/>
  <c r="K12" i="13"/>
  <c r="K19" i="13" s="1"/>
  <c r="AL25" i="13"/>
  <c r="AD15" i="26"/>
  <c r="AD30" i="26"/>
  <c r="AD24" i="9"/>
  <c r="AG25" i="1"/>
  <c r="I25" i="1" s="1"/>
  <c r="AH175" i="1"/>
  <c r="AH177" i="1" s="1"/>
  <c r="AH190" i="1" s="1"/>
  <c r="I177" i="1"/>
  <c r="AM25" i="13"/>
  <c r="AM19" i="13"/>
  <c r="AO22" i="15"/>
  <c r="AS17" i="15"/>
  <c r="AO26" i="15"/>
  <c r="AO18" i="9"/>
  <c r="AO22" i="20"/>
  <c r="AH187" i="1"/>
  <c r="AI183" i="1"/>
  <c r="AH184" i="1"/>
  <c r="AE87" i="20"/>
  <c r="AI35" i="13"/>
  <c r="AI76" i="13"/>
  <c r="J30" i="9"/>
  <c r="K16" i="22"/>
  <c r="K10" i="9"/>
  <c r="AF30" i="16"/>
  <c r="AF108" i="9" s="1"/>
  <c r="AF35" i="16"/>
  <c r="AF107" i="9"/>
  <c r="AF13" i="16"/>
  <c r="AF17" i="16"/>
  <c r="AP87" i="13"/>
  <c r="AT89" i="13"/>
  <c r="J23" i="20"/>
  <c r="K18" i="15"/>
  <c r="AP18" i="15"/>
  <c r="AL23" i="15"/>
  <c r="AL27" i="15"/>
  <c r="AL19" i="9"/>
  <c r="AL23" i="20"/>
  <c r="AJ21" i="20"/>
  <c r="AR17" i="15"/>
  <c r="AN26" i="15"/>
  <c r="AN22" i="15"/>
  <c r="AN18" i="9"/>
  <c r="AN22" i="20"/>
  <c r="I90" i="1"/>
  <c r="AR13" i="9"/>
  <c r="AR17" i="20"/>
  <c r="AV17" i="14"/>
  <c r="AR33" i="14"/>
  <c r="AR104" i="14"/>
  <c r="AN58" i="13"/>
  <c r="AN53" i="13" s="1"/>
  <c r="AN82" i="14"/>
  <c r="AN83" i="14" s="1"/>
  <c r="AN94" i="14" s="1"/>
  <c r="AN93" i="14" s="1"/>
  <c r="AN97" i="14" s="1"/>
  <c r="AN96" i="14" s="1"/>
  <c r="AN99" i="14" s="1"/>
  <c r="AN85" i="14" s="1"/>
  <c r="AN87" i="14" s="1"/>
  <c r="AN63" i="14" s="1"/>
  <c r="K13" i="20"/>
  <c r="AL12" i="20"/>
  <c r="K20" i="13"/>
  <c r="K21" i="13"/>
  <c r="K23" i="18"/>
  <c r="AO8" i="9"/>
  <c r="AG15" i="26"/>
  <c r="AG30" i="26"/>
  <c r="AG24" i="9"/>
  <c r="AG23" i="9" s="1"/>
  <c r="AJ13" i="26"/>
  <c r="AJ28" i="20" s="1"/>
  <c r="AK13" i="26"/>
  <c r="AK28" i="20" s="1"/>
  <c r="AH13" i="26"/>
  <c r="AH28" i="20" s="1"/>
  <c r="AI13" i="26"/>
  <c r="AI28" i="20" s="1"/>
  <c r="AQ17" i="13"/>
  <c r="AQ26" i="13"/>
  <c r="AQ28" i="13"/>
  <c r="AU14" i="13"/>
  <c r="AQ85" i="13"/>
  <c r="AQ86" i="13" s="1"/>
  <c r="AQ10" i="9"/>
  <c r="AQ14" i="20"/>
  <c r="AQ12" i="13"/>
  <c r="AQ68" i="13"/>
  <c r="AQ20" i="13"/>
  <c r="AI41" i="14"/>
  <c r="AI62" i="14"/>
  <c r="AR87" i="13"/>
  <c r="AV89" i="13"/>
  <c r="AQ13" i="9"/>
  <c r="AQ17" i="20"/>
  <c r="AU17" i="14"/>
  <c r="AQ33" i="14"/>
  <c r="AQ104" i="14"/>
  <c r="AQ25" i="15"/>
  <c r="AU16" i="15"/>
  <c r="AQ66" i="15"/>
  <c r="AQ65" i="15" s="1"/>
  <c r="I190" i="1"/>
  <c r="J82" i="14"/>
  <c r="AH83" i="14"/>
  <c r="J8" i="9"/>
  <c r="K11" i="22" s="1"/>
  <c r="AQ87" i="13"/>
  <c r="AU89" i="13"/>
  <c r="AJ41" i="14"/>
  <c r="AJ62" i="14"/>
  <c r="I15" i="16"/>
  <c r="I14" i="16"/>
  <c r="AS13" i="9"/>
  <c r="AS17" i="20"/>
  <c r="AW17" i="14"/>
  <c r="AS33" i="14"/>
  <c r="AS104" i="14"/>
  <c r="AV118" i="14"/>
  <c r="J19" i="9"/>
  <c r="K22" i="22" s="1"/>
  <c r="AM23" i="15"/>
  <c r="AM27" i="15"/>
  <c r="AQ18" i="15"/>
  <c r="AM19" i="9"/>
  <c r="AM23" i="20"/>
  <c r="AJ31" i="9"/>
  <c r="AJ17" i="9"/>
  <c r="AN12" i="20"/>
  <c r="AH21" i="20"/>
  <c r="J22" i="20"/>
  <c r="AF15" i="26"/>
  <c r="AF30" i="26"/>
  <c r="AF24" i="9"/>
  <c r="AM8" i="9"/>
  <c r="AI60" i="13"/>
  <c r="AI64" i="13"/>
  <c r="AI62" i="13" s="1"/>
  <c r="AI66" i="13" s="1"/>
  <c r="AI33" i="13" s="1"/>
  <c r="AI56" i="13"/>
  <c r="AI55" i="13"/>
  <c r="AI54" i="13"/>
  <c r="AK31" i="9"/>
  <c r="AK17" i="9"/>
  <c r="I84" i="21"/>
  <c r="AH90" i="1"/>
  <c r="AE86" i="20"/>
  <c r="I31" i="9"/>
  <c r="J21" i="22"/>
  <c r="AS18" i="15"/>
  <c r="AO23" i="15"/>
  <c r="AO27" i="15"/>
  <c r="AO19" i="9"/>
  <c r="AO23" i="20"/>
  <c r="J53" i="13"/>
  <c r="AH60" i="13"/>
  <c r="AH54" i="13"/>
  <c r="AH56" i="13"/>
  <c r="AH64" i="13"/>
  <c r="AH55" i="13"/>
  <c r="AT118" i="14"/>
  <c r="L118" i="14"/>
  <c r="AJ60" i="13"/>
  <c r="AJ54" i="13"/>
  <c r="AJ64" i="13"/>
  <c r="AJ62" i="13" s="1"/>
  <c r="AJ66" i="13" s="1"/>
  <c r="AJ33" i="13" s="1"/>
  <c r="AJ55" i="13"/>
  <c r="AJ56" i="13"/>
  <c r="AP17" i="13"/>
  <c r="L14" i="13"/>
  <c r="AT14" i="13"/>
  <c r="AP28" i="13"/>
  <c r="AP10" i="9"/>
  <c r="AP14" i="20"/>
  <c r="I21" i="20"/>
  <c r="AN8" i="9"/>
  <c r="AN19" i="13"/>
  <c r="AN25" i="13"/>
  <c r="J60" i="13" l="1"/>
  <c r="J58" i="13"/>
  <c r="I62" i="13"/>
  <c r="J56" i="13"/>
  <c r="J55" i="13"/>
  <c r="J54" i="13"/>
  <c r="AM26" i="14"/>
  <c r="AD33" i="13"/>
  <c r="I66" i="13"/>
  <c r="AH62" i="13"/>
  <c r="AH66" i="13" s="1"/>
  <c r="J64" i="13"/>
  <c r="AJ114" i="14"/>
  <c r="AJ115" i="14" s="1"/>
  <c r="AJ109" i="14" s="1"/>
  <c r="AJ110" i="14" s="1"/>
  <c r="AJ111" i="14" s="1"/>
  <c r="AI16" i="20"/>
  <c r="AM20" i="20"/>
  <c r="AM16" i="9"/>
  <c r="AQ20" i="14"/>
  <c r="AQ28" i="14" s="1"/>
  <c r="AO27" i="14"/>
  <c r="J14" i="9"/>
  <c r="K17" i="22" s="1"/>
  <c r="AJ12" i="9"/>
  <c r="AF111" i="14"/>
  <c r="AD109" i="14"/>
  <c r="AD110" i="14" s="1"/>
  <c r="AD111" i="14" s="1"/>
  <c r="AL15" i="9"/>
  <c r="J18" i="20"/>
  <c r="AN15" i="9"/>
  <c r="AK114" i="14"/>
  <c r="AK115" i="14" s="1"/>
  <c r="AK109" i="14" s="1"/>
  <c r="AK110" i="14" s="1"/>
  <c r="AL26" i="14"/>
  <c r="AO26" i="14"/>
  <c r="AL14" i="9"/>
  <c r="AP19" i="14"/>
  <c r="AP19" i="20" s="1"/>
  <c r="AO16" i="9"/>
  <c r="AL34" i="14"/>
  <c r="AO18" i="20"/>
  <c r="I12" i="9"/>
  <c r="J15" i="22" s="1"/>
  <c r="AH24" i="14"/>
  <c r="AH32" i="14"/>
  <c r="AO14" i="9"/>
  <c r="AL16" i="14"/>
  <c r="AL116" i="14" s="1"/>
  <c r="J25" i="14"/>
  <c r="AH16" i="20"/>
  <c r="K18" i="14"/>
  <c r="K27" i="14" s="1"/>
  <c r="AM18" i="20"/>
  <c r="AM34" i="14"/>
  <c r="AM14" i="9"/>
  <c r="AI12" i="9"/>
  <c r="AN34" i="14"/>
  <c r="J16" i="9"/>
  <c r="K19" i="22" s="1"/>
  <c r="J16" i="14"/>
  <c r="J24" i="14" s="1"/>
  <c r="AO28" i="14"/>
  <c r="AP18" i="14"/>
  <c r="AP14" i="9" s="1"/>
  <c r="AP37" i="14"/>
  <c r="AO19" i="20"/>
  <c r="AJ32" i="14"/>
  <c r="AM35" i="14"/>
  <c r="AL19" i="20"/>
  <c r="AS20" i="14"/>
  <c r="AS20" i="20" s="1"/>
  <c r="AT22" i="14"/>
  <c r="AX22" i="14" s="1"/>
  <c r="AO15" i="9"/>
  <c r="AJ24" i="14"/>
  <c r="AO16" i="14"/>
  <c r="AO116" i="14" s="1"/>
  <c r="L22" i="14"/>
  <c r="L29" i="14" s="1"/>
  <c r="AK12" i="9"/>
  <c r="AM15" i="9"/>
  <c r="AK32" i="14"/>
  <c r="AG43" i="14"/>
  <c r="AG48" i="14" s="1"/>
  <c r="AG49" i="14" s="1"/>
  <c r="AH12" i="9"/>
  <c r="J20" i="20"/>
  <c r="AG111" i="14"/>
  <c r="AL35" i="14"/>
  <c r="AL20" i="20"/>
  <c r="AO34" i="14"/>
  <c r="AN26" i="14"/>
  <c r="AR20" i="14"/>
  <c r="AR20" i="20" s="1"/>
  <c r="AN18" i="20"/>
  <c r="AN16" i="14"/>
  <c r="AN24" i="14" s="1"/>
  <c r="AR19" i="14"/>
  <c r="AR19" i="20" s="1"/>
  <c r="AE111" i="14"/>
  <c r="AR37" i="14"/>
  <c r="AO35" i="14"/>
  <c r="AK24" i="14"/>
  <c r="AI32" i="14"/>
  <c r="AR18" i="14"/>
  <c r="AR18" i="20" s="1"/>
  <c r="AS37" i="14"/>
  <c r="AN27" i="14"/>
  <c r="AV22" i="14"/>
  <c r="AZ22" i="14" s="1"/>
  <c r="AH116" i="14"/>
  <c r="AH109" i="14" s="1"/>
  <c r="AH110" i="14" s="1"/>
  <c r="K19" i="14"/>
  <c r="K28" i="14" s="1"/>
  <c r="AI24" i="14"/>
  <c r="AN35" i="14"/>
  <c r="AM27" i="14"/>
  <c r="AI116" i="14"/>
  <c r="AI109" i="14" s="1"/>
  <c r="AI110" i="14" s="1"/>
  <c r="AI65" i="14" s="1"/>
  <c r="AQ19" i="14"/>
  <c r="AQ15" i="9" s="1"/>
  <c r="AM16" i="14"/>
  <c r="AM24" i="14" s="1"/>
  <c r="J19" i="20"/>
  <c r="AN20" i="20"/>
  <c r="AM36" i="14"/>
  <c r="AL28" i="14"/>
  <c r="AL16" i="9"/>
  <c r="AO36" i="14"/>
  <c r="AP20" i="14"/>
  <c r="AP36" i="14" s="1"/>
  <c r="AN36" i="14"/>
  <c r="AN16" i="9"/>
  <c r="J15" i="9"/>
  <c r="K18" i="22" s="1"/>
  <c r="AL36" i="14"/>
  <c r="K20" i="14"/>
  <c r="I25" i="20"/>
  <c r="AO55" i="13"/>
  <c r="AL56" i="13"/>
  <c r="J35" i="13"/>
  <c r="AM54" i="13"/>
  <c r="AM55" i="13"/>
  <c r="AM56" i="13"/>
  <c r="AR12" i="20"/>
  <c r="AO54" i="13"/>
  <c r="AQ12" i="20"/>
  <c r="AN54" i="13"/>
  <c r="AM76" i="13"/>
  <c r="AL35" i="13"/>
  <c r="AK80" i="9"/>
  <c r="AK59" i="20" s="1"/>
  <c r="AK32" i="13"/>
  <c r="AK41" i="13" s="1"/>
  <c r="AK44" i="13" s="1"/>
  <c r="AK45" i="13" s="1"/>
  <c r="AN56" i="13"/>
  <c r="AS12" i="20"/>
  <c r="AN55" i="13"/>
  <c r="J21" i="20"/>
  <c r="L14" i="20"/>
  <c r="AN21" i="20"/>
  <c r="AU14" i="26"/>
  <c r="AY70" i="13"/>
  <c r="AY14" i="26" s="1"/>
  <c r="AL54" i="13"/>
  <c r="AO76" i="13"/>
  <c r="AW14" i="26"/>
  <c r="BA70" i="13"/>
  <c r="BA14" i="26" s="1"/>
  <c r="AW13" i="20"/>
  <c r="BA13" i="13"/>
  <c r="AW9" i="9"/>
  <c r="AV14" i="26"/>
  <c r="AZ70" i="13"/>
  <c r="AZ14" i="26" s="1"/>
  <c r="L10" i="9"/>
  <c r="L41" i="18" s="1"/>
  <c r="L42" i="18" s="1"/>
  <c r="AL55" i="13"/>
  <c r="K55" i="13" s="1"/>
  <c r="I24" i="20"/>
  <c r="AG45" i="13"/>
  <c r="AG81" i="9"/>
  <c r="AG60" i="20" s="1"/>
  <c r="AE45" i="13"/>
  <c r="AE81" i="9"/>
  <c r="AE60" i="20" s="1"/>
  <c r="AF81" i="9"/>
  <c r="AF60" i="20" s="1"/>
  <c r="AF45" i="13"/>
  <c r="AD63" i="14"/>
  <c r="I87" i="14"/>
  <c r="AU9" i="9"/>
  <c r="AU13" i="20"/>
  <c r="AY13" i="13"/>
  <c r="AE89" i="9"/>
  <c r="AE68" i="20" s="1"/>
  <c r="AE40" i="14"/>
  <c r="AI191" i="1"/>
  <c r="L49" i="18"/>
  <c r="L13" i="26" s="1"/>
  <c r="L17" i="13"/>
  <c r="L22" i="13"/>
  <c r="AJ32" i="13"/>
  <c r="AJ41" i="13" s="1"/>
  <c r="AJ44" i="13" s="1"/>
  <c r="AJ80" i="9"/>
  <c r="M118" i="14"/>
  <c r="AX118" i="14"/>
  <c r="AF17" i="26"/>
  <c r="AF27" i="20" s="1"/>
  <c r="AF31" i="20" s="1"/>
  <c r="AF33" i="26"/>
  <c r="AF129" i="9" s="1"/>
  <c r="AF41" i="9" s="1"/>
  <c r="AF112" i="9" s="1"/>
  <c r="AF109" i="9" s="1"/>
  <c r="AF88" i="20" s="1"/>
  <c r="AJ89" i="9"/>
  <c r="AJ40" i="14"/>
  <c r="AU13" i="9"/>
  <c r="AU17" i="20"/>
  <c r="AY17" i="14"/>
  <c r="AU33" i="14"/>
  <c r="AU104" i="14"/>
  <c r="AQ25" i="13"/>
  <c r="AQ19" i="13"/>
  <c r="AK15" i="26"/>
  <c r="AK30" i="26"/>
  <c r="AK24" i="9"/>
  <c r="AK23" i="9" s="1"/>
  <c r="AG17" i="26"/>
  <c r="AG27" i="20" s="1"/>
  <c r="AG31" i="20" s="1"/>
  <c r="AG33" i="26"/>
  <c r="AG129" i="9" s="1"/>
  <c r="K12" i="20"/>
  <c r="AN31" i="9"/>
  <c r="AN17" i="9"/>
  <c r="AD23" i="9"/>
  <c r="I24" i="9"/>
  <c r="J27" i="22" s="1"/>
  <c r="AD29" i="9"/>
  <c r="L13" i="20"/>
  <c r="AP12" i="20"/>
  <c r="AP58" i="13"/>
  <c r="AP53" i="13" s="1"/>
  <c r="AP82" i="14"/>
  <c r="L23" i="18"/>
  <c r="L20" i="13"/>
  <c r="L21" i="13"/>
  <c r="K82" i="14"/>
  <c r="AL83" i="14"/>
  <c r="AM60" i="13"/>
  <c r="AM64" i="13"/>
  <c r="AM62" i="13" s="1"/>
  <c r="AM66" i="13" s="1"/>
  <c r="AM33" i="13" s="1"/>
  <c r="AM17" i="9"/>
  <c r="AM31" i="9"/>
  <c r="K30" i="9"/>
  <c r="L16" i="22"/>
  <c r="AX16" i="15"/>
  <c r="M16" i="15"/>
  <c r="M21" i="15" s="1"/>
  <c r="AT25" i="15"/>
  <c r="AT66" i="15"/>
  <c r="AT65" i="15" s="1"/>
  <c r="AR74" i="13"/>
  <c r="AR75" i="13" s="1"/>
  <c r="AZ13" i="13"/>
  <c r="AV12" i="13"/>
  <c r="AV20" i="13"/>
  <c r="AV26" i="13"/>
  <c r="AV27" i="13"/>
  <c r="AW27" i="13"/>
  <c r="AV68" i="13"/>
  <c r="AV85" i="13"/>
  <c r="AV86" i="13" s="1"/>
  <c r="AV9" i="9"/>
  <c r="AV13" i="20"/>
  <c r="AG13" i="16"/>
  <c r="AG17" i="16"/>
  <c r="AS19" i="13"/>
  <c r="AS25" i="13"/>
  <c r="AS8" i="9"/>
  <c r="AO60" i="13"/>
  <c r="AO56" i="13"/>
  <c r="AO64" i="13"/>
  <c r="AO62" i="13" s="1"/>
  <c r="AO66" i="13" s="1"/>
  <c r="AO33" i="13" s="1"/>
  <c r="L13" i="9"/>
  <c r="AP30" i="9"/>
  <c r="J31" i="9"/>
  <c r="K21" i="22"/>
  <c r="AQ23" i="15"/>
  <c r="AQ27" i="15"/>
  <c r="AU18" i="15"/>
  <c r="AQ19" i="9"/>
  <c r="AQ23" i="20"/>
  <c r="AW13" i="9"/>
  <c r="AW17" i="20"/>
  <c r="BA17" i="14"/>
  <c r="AW33" i="14"/>
  <c r="AW104" i="14"/>
  <c r="AV87" i="13"/>
  <c r="AZ89" i="13"/>
  <c r="AI89" i="9"/>
  <c r="AI40" i="14"/>
  <c r="AU17" i="13"/>
  <c r="AU26" i="13"/>
  <c r="AU28" i="13"/>
  <c r="AY14" i="13"/>
  <c r="AU85" i="13"/>
  <c r="AU86" i="13" s="1"/>
  <c r="AU10" i="9"/>
  <c r="AU14" i="20"/>
  <c r="AU68" i="13"/>
  <c r="AU12" i="13"/>
  <c r="AU20" i="13"/>
  <c r="AJ15" i="26"/>
  <c r="AJ30" i="26"/>
  <c r="AJ24" i="9"/>
  <c r="AJ23" i="9" s="1"/>
  <c r="K13" i="18"/>
  <c r="K24" i="18"/>
  <c r="AR30" i="9"/>
  <c r="K23" i="20"/>
  <c r="AT18" i="15"/>
  <c r="L18" i="15"/>
  <c r="AP23" i="15"/>
  <c r="AP27" i="15"/>
  <c r="AP19" i="9"/>
  <c r="AP23" i="20"/>
  <c r="AS15" i="9"/>
  <c r="AS19" i="20"/>
  <c r="AS27" i="14"/>
  <c r="AW19" i="14"/>
  <c r="AF87" i="20"/>
  <c r="AS22" i="15"/>
  <c r="AW17" i="15"/>
  <c r="AS26" i="15"/>
  <c r="AS18" i="9"/>
  <c r="AS22" i="20"/>
  <c r="AP8" i="9"/>
  <c r="L9" i="9"/>
  <c r="AL60" i="13"/>
  <c r="K53" i="13"/>
  <c r="AL64" i="13"/>
  <c r="AP22" i="15"/>
  <c r="L17" i="15"/>
  <c r="AT17" i="15"/>
  <c r="AP26" i="15"/>
  <c r="AP18" i="9"/>
  <c r="AP22" i="20"/>
  <c r="AE17" i="26"/>
  <c r="AE27" i="20" s="1"/>
  <c r="AE31" i="20" s="1"/>
  <c r="AE33" i="26"/>
  <c r="AE129" i="9" s="1"/>
  <c r="AR58" i="13"/>
  <c r="AR53" i="13" s="1"/>
  <c r="AR82" i="14"/>
  <c r="AR83" i="14" s="1"/>
  <c r="AR94" i="14" s="1"/>
  <c r="AR93" i="14" s="1"/>
  <c r="AR97" i="14" s="1"/>
  <c r="AR96" i="14" s="1"/>
  <c r="AR99" i="14" s="1"/>
  <c r="AR85" i="14" s="1"/>
  <c r="AR87" i="14" s="1"/>
  <c r="AR63" i="14" s="1"/>
  <c r="AN35" i="13"/>
  <c r="AN76" i="13"/>
  <c r="AG20" i="9"/>
  <c r="I21" i="9"/>
  <c r="AG29" i="9"/>
  <c r="AG30" i="16"/>
  <c r="AG35" i="16"/>
  <c r="AG107" i="9"/>
  <c r="I107" i="9" s="1"/>
  <c r="I22" i="16"/>
  <c r="H23" i="12" s="1"/>
  <c r="AN13" i="26"/>
  <c r="AN28" i="20" s="1"/>
  <c r="AO13" i="26"/>
  <c r="AO28" i="20" s="1"/>
  <c r="AL13" i="26"/>
  <c r="AL28" i="20" s="1"/>
  <c r="AM13" i="26"/>
  <c r="AM28" i="20" s="1"/>
  <c r="AY118" i="14"/>
  <c r="AY22" i="14"/>
  <c r="AS58" i="13"/>
  <c r="AS53" i="13" s="1"/>
  <c r="AS82" i="14"/>
  <c r="AS83" i="14" s="1"/>
  <c r="AS94" i="14" s="1"/>
  <c r="AS93" i="14" s="1"/>
  <c r="AS97" i="14" s="1"/>
  <c r="AS96" i="14" s="1"/>
  <c r="AS99" i="14" s="1"/>
  <c r="AS85" i="14" s="1"/>
  <c r="AS87" i="14" s="1"/>
  <c r="AS63" i="14" s="1"/>
  <c r="AS74" i="13"/>
  <c r="AS75" i="13" s="1"/>
  <c r="AR23" i="15"/>
  <c r="AR27" i="15"/>
  <c r="AV18" i="15"/>
  <c r="AR19" i="9"/>
  <c r="AR23" i="20"/>
  <c r="AW25" i="15"/>
  <c r="BA16" i="15"/>
  <c r="AW66" i="15"/>
  <c r="AW65" i="15" s="1"/>
  <c r="AF43" i="14"/>
  <c r="AF48" i="14" s="1"/>
  <c r="AF70" i="14"/>
  <c r="K8" i="9"/>
  <c r="L11" i="22" s="1"/>
  <c r="AT13" i="9"/>
  <c r="AT17" i="20"/>
  <c r="AX17" i="14"/>
  <c r="AT33" i="14"/>
  <c r="M17" i="14"/>
  <c r="AT104" i="14"/>
  <c r="J17" i="9"/>
  <c r="K20" i="22" s="1"/>
  <c r="AI32" i="13"/>
  <c r="AI41" i="13" s="1"/>
  <c r="AI44" i="13" s="1"/>
  <c r="AI80" i="9"/>
  <c r="AF23" i="9"/>
  <c r="AF27" i="9" s="1"/>
  <c r="AF29" i="9"/>
  <c r="AZ118" i="14"/>
  <c r="AE43" i="14"/>
  <c r="AE70" i="14"/>
  <c r="J83" i="14"/>
  <c r="AH94" i="14"/>
  <c r="AH93" i="14" s="1"/>
  <c r="AH97" i="14" s="1"/>
  <c r="AH96" i="14" s="1"/>
  <c r="AH99" i="14" s="1"/>
  <c r="AH85" i="14" s="1"/>
  <c r="AU25" i="15"/>
  <c r="AY16" i="15"/>
  <c r="AU66" i="15"/>
  <c r="AU65" i="15" s="1"/>
  <c r="AQ30" i="9"/>
  <c r="AQ8" i="9"/>
  <c r="AI15" i="26"/>
  <c r="AI30" i="26"/>
  <c r="AI24" i="9"/>
  <c r="AI23" i="9" s="1"/>
  <c r="AN41" i="14"/>
  <c r="AN62" i="14"/>
  <c r="AV13" i="9"/>
  <c r="AV17" i="20"/>
  <c r="AZ17" i="14"/>
  <c r="AV33" i="14"/>
  <c r="AV104" i="14"/>
  <c r="K19" i="9"/>
  <c r="L22" i="22" s="1"/>
  <c r="AT87" i="13"/>
  <c r="AX89" i="13"/>
  <c r="K41" i="18"/>
  <c r="K42" i="18" s="1"/>
  <c r="L13" i="22"/>
  <c r="AS14" i="9"/>
  <c r="AS18" i="20"/>
  <c r="AS26" i="14"/>
  <c r="AW18" i="14"/>
  <c r="AJ183" i="1"/>
  <c r="AI184" i="1"/>
  <c r="AI187" i="1"/>
  <c r="AO21" i="20"/>
  <c r="AH25" i="1"/>
  <c r="AI175" i="1"/>
  <c r="AI177" i="1" s="1"/>
  <c r="AI190" i="1" s="1"/>
  <c r="AD17" i="26"/>
  <c r="AD33" i="26"/>
  <c r="AD129" i="9" s="1"/>
  <c r="K22" i="20"/>
  <c r="AL21" i="20"/>
  <c r="K22" i="15"/>
  <c r="K23" i="15"/>
  <c r="AK68" i="20"/>
  <c r="AV25" i="15"/>
  <c r="AZ16" i="15"/>
  <c r="AV66" i="15"/>
  <c r="AV65" i="15" s="1"/>
  <c r="AZ14" i="13"/>
  <c r="AV17" i="13"/>
  <c r="AV28" i="13"/>
  <c r="AV10" i="9"/>
  <c r="AV14" i="20"/>
  <c r="BA14" i="13"/>
  <c r="AW17" i="13"/>
  <c r="AW26" i="13"/>
  <c r="AW28" i="13"/>
  <c r="AW85" i="13"/>
  <c r="AW86" i="13" s="1"/>
  <c r="AW10" i="9"/>
  <c r="AW14" i="20"/>
  <c r="AW20" i="13"/>
  <c r="AW68" i="13"/>
  <c r="AW12" i="13"/>
  <c r="L26" i="14"/>
  <c r="AW18" i="15"/>
  <c r="AS23" i="15"/>
  <c r="AS27" i="15"/>
  <c r="AS19" i="9"/>
  <c r="AS23" i="20"/>
  <c r="AT17" i="13"/>
  <c r="AX14" i="13"/>
  <c r="M14" i="13"/>
  <c r="AT28" i="13"/>
  <c r="AT10" i="9"/>
  <c r="AT14" i="20"/>
  <c r="AS30" i="9"/>
  <c r="AU87" i="13"/>
  <c r="AY89" i="13"/>
  <c r="AQ58" i="13"/>
  <c r="AQ53" i="13" s="1"/>
  <c r="AQ82" i="14"/>
  <c r="AQ83" i="14" s="1"/>
  <c r="AQ94" i="14" s="1"/>
  <c r="AQ93" i="14" s="1"/>
  <c r="AQ97" i="14" s="1"/>
  <c r="AQ96" i="14" s="1"/>
  <c r="AQ99" i="14" s="1"/>
  <c r="AQ85" i="14" s="1"/>
  <c r="AQ87" i="14" s="1"/>
  <c r="AQ63" i="14" s="1"/>
  <c r="AQ74" i="13"/>
  <c r="AQ75" i="13" s="1"/>
  <c r="AH15" i="26"/>
  <c r="AH30" i="26"/>
  <c r="AH24" i="9"/>
  <c r="AN60" i="13"/>
  <c r="AN64" i="13"/>
  <c r="AN62" i="13" s="1"/>
  <c r="AN66" i="13" s="1"/>
  <c r="AN33" i="13" s="1"/>
  <c r="AV17" i="15"/>
  <c r="AR26" i="15"/>
  <c r="AR22" i="15"/>
  <c r="AR18" i="9"/>
  <c r="AR22" i="20"/>
  <c r="AF86" i="20"/>
  <c r="AO31" i="9"/>
  <c r="AO17" i="9"/>
  <c r="AP74" i="13"/>
  <c r="AP75" i="13" s="1"/>
  <c r="AT12" i="13"/>
  <c r="M13" i="13"/>
  <c r="AT20" i="13"/>
  <c r="AU27" i="13"/>
  <c r="AX13" i="13"/>
  <c r="AT27" i="13"/>
  <c r="AT26" i="13"/>
  <c r="AT68" i="13"/>
  <c r="AT85" i="13"/>
  <c r="AT86" i="13" s="1"/>
  <c r="AT9" i="9"/>
  <c r="AT13" i="20"/>
  <c r="L12" i="13"/>
  <c r="L19" i="13" s="1"/>
  <c r="AP19" i="13"/>
  <c r="AP25" i="13"/>
  <c r="AL17" i="9"/>
  <c r="K18" i="9"/>
  <c r="AL31" i="9"/>
  <c r="AM41" i="14"/>
  <c r="AM62" i="14"/>
  <c r="AE23" i="9"/>
  <c r="AE27" i="9" s="1"/>
  <c r="AE29" i="9"/>
  <c r="AM21" i="20"/>
  <c r="AU17" i="15"/>
  <c r="AQ26" i="15"/>
  <c r="AQ22" i="15"/>
  <c r="AQ18" i="9"/>
  <c r="AQ22" i="20"/>
  <c r="AW87" i="13"/>
  <c r="BA89" i="13"/>
  <c r="AR8" i="9"/>
  <c r="AR19" i="13"/>
  <c r="AR25" i="13"/>
  <c r="BA22" i="14"/>
  <c r="AH14" i="16"/>
  <c r="AH22" i="16"/>
  <c r="AH9" i="16"/>
  <c r="AI10" i="16"/>
  <c r="AH19" i="16"/>
  <c r="AH21" i="9"/>
  <c r="AH25" i="20"/>
  <c r="AG75" i="14"/>
  <c r="AG71" i="14"/>
  <c r="AO41" i="14"/>
  <c r="AO62" i="14"/>
  <c r="BA118" i="14"/>
  <c r="AQ14" i="9"/>
  <c r="AQ18" i="20"/>
  <c r="AQ26" i="14"/>
  <c r="AU18" i="14"/>
  <c r="L12" i="22"/>
  <c r="L17" i="20"/>
  <c r="AQ20" i="20" l="1"/>
  <c r="AQ16" i="9"/>
  <c r="AQ12" i="9" s="1"/>
  <c r="K60" i="13"/>
  <c r="K58" i="13"/>
  <c r="K18" i="20"/>
  <c r="K54" i="13"/>
  <c r="K56" i="13"/>
  <c r="J62" i="13"/>
  <c r="AH33" i="13"/>
  <c r="J33" i="13" s="1"/>
  <c r="J66" i="13"/>
  <c r="AD80" i="9"/>
  <c r="AD32" i="13"/>
  <c r="I33" i="13"/>
  <c r="AL62" i="13"/>
  <c r="AL66" i="13" s="1"/>
  <c r="K64" i="13"/>
  <c r="J16" i="20"/>
  <c r="AD65" i="14"/>
  <c r="AD43" i="14" s="1"/>
  <c r="I109" i="14"/>
  <c r="AM16" i="20"/>
  <c r="AQ27" i="14"/>
  <c r="AT20" i="14"/>
  <c r="AT20" i="20" s="1"/>
  <c r="J12" i="9"/>
  <c r="K15" i="22" s="1"/>
  <c r="AL32" i="14"/>
  <c r="AR36" i="14"/>
  <c r="AU20" i="14"/>
  <c r="AU20" i="20" s="1"/>
  <c r="K25" i="14"/>
  <c r="AR16" i="9"/>
  <c r="AN12" i="9"/>
  <c r="AL12" i="9"/>
  <c r="AN116" i="14"/>
  <c r="AN114" i="14"/>
  <c r="AN115" i="14" s="1"/>
  <c r="AL16" i="20"/>
  <c r="AO12" i="9"/>
  <c r="I110" i="14"/>
  <c r="I111" i="14" s="1"/>
  <c r="AS34" i="14"/>
  <c r="AR14" i="9"/>
  <c r="L14" i="9" s="1"/>
  <c r="M17" i="22" s="1"/>
  <c r="AP15" i="9"/>
  <c r="AM116" i="14"/>
  <c r="AP34" i="14"/>
  <c r="L18" i="14"/>
  <c r="L27" i="14" s="1"/>
  <c r="AR34" i="14"/>
  <c r="AP35" i="14"/>
  <c r="AM114" i="14"/>
  <c r="AM115" i="14" s="1"/>
  <c r="AQ34" i="14"/>
  <c r="AP18" i="20"/>
  <c r="L18" i="20" s="1"/>
  <c r="AR26" i="14"/>
  <c r="AP27" i="14"/>
  <c r="AM32" i="14"/>
  <c r="AP26" i="14"/>
  <c r="AN32" i="14"/>
  <c r="AL24" i="14"/>
  <c r="AL114" i="14"/>
  <c r="AL115" i="14" s="1"/>
  <c r="K14" i="9"/>
  <c r="L17" i="22" s="1"/>
  <c r="AN16" i="20"/>
  <c r="AM12" i="9"/>
  <c r="AS16" i="14"/>
  <c r="AS24" i="14" s="1"/>
  <c r="AT18" i="14"/>
  <c r="AT18" i="20" s="1"/>
  <c r="AU19" i="14"/>
  <c r="AY19" i="14" s="1"/>
  <c r="AW37" i="14"/>
  <c r="AP20" i="20"/>
  <c r="AR28" i="14"/>
  <c r="AQ16" i="14"/>
  <c r="AQ24" i="14" s="1"/>
  <c r="AQ36" i="14"/>
  <c r="AQ19" i="20"/>
  <c r="M22" i="14"/>
  <c r="AP28" i="14"/>
  <c r="AP16" i="9"/>
  <c r="AV20" i="14"/>
  <c r="AV16" i="9" s="1"/>
  <c r="AU37" i="14"/>
  <c r="AT19" i="14"/>
  <c r="AT15" i="9" s="1"/>
  <c r="AP16" i="14"/>
  <c r="AP116" i="14" s="1"/>
  <c r="AQ35" i="14"/>
  <c r="AT37" i="14"/>
  <c r="K15" i="9"/>
  <c r="L18" i="22" s="1"/>
  <c r="K19" i="20"/>
  <c r="AS28" i="14"/>
  <c r="AS16" i="9"/>
  <c r="AS12" i="9" s="1"/>
  <c r="AO16" i="20"/>
  <c r="AW20" i="14"/>
  <c r="AW16" i="14" s="1"/>
  <c r="AO24" i="14"/>
  <c r="L20" i="14"/>
  <c r="AO32" i="14"/>
  <c r="AO114" i="14"/>
  <c r="AO115" i="14" s="1"/>
  <c r="AO109" i="14" s="1"/>
  <c r="AO110" i="14" s="1"/>
  <c r="AO65" i="14" s="1"/>
  <c r="AS36" i="14"/>
  <c r="L19" i="14"/>
  <c r="L28" i="14" s="1"/>
  <c r="AV18" i="14"/>
  <c r="AV18" i="20" s="1"/>
  <c r="AV37" i="14"/>
  <c r="AR35" i="14"/>
  <c r="AR15" i="9"/>
  <c r="K20" i="20"/>
  <c r="AS35" i="14"/>
  <c r="AR16" i="14"/>
  <c r="AR116" i="14" s="1"/>
  <c r="AR27" i="14"/>
  <c r="AV19" i="14"/>
  <c r="AV15" i="9" s="1"/>
  <c r="K16" i="14"/>
  <c r="K24" i="14" s="1"/>
  <c r="K16" i="9"/>
  <c r="L19" i="22" s="1"/>
  <c r="M29" i="14"/>
  <c r="AS55" i="13"/>
  <c r="AD27" i="20"/>
  <c r="I28" i="20"/>
  <c r="AE35" i="26"/>
  <c r="AE138" i="9" s="1"/>
  <c r="AE117" i="20" s="1"/>
  <c r="AF35" i="26"/>
  <c r="AF138" i="9" s="1"/>
  <c r="AF117" i="20" s="1"/>
  <c r="AD35" i="26"/>
  <c r="AD138" i="9" s="1"/>
  <c r="AD117" i="20" s="1"/>
  <c r="AG35" i="26"/>
  <c r="AG138" i="9" s="1"/>
  <c r="AG117" i="20" s="1"/>
  <c r="AP56" i="13"/>
  <c r="AE48" i="14"/>
  <c r="AE49" i="14" s="1"/>
  <c r="AJ65" i="14"/>
  <c r="AJ43" i="14" s="1"/>
  <c r="AJ48" i="14" s="1"/>
  <c r="M13" i="22"/>
  <c r="AQ55" i="13"/>
  <c r="AQ21" i="20"/>
  <c r="AG53" i="14"/>
  <c r="AG56" i="14" s="1"/>
  <c r="AG90" i="9" s="1"/>
  <c r="AL109" i="14"/>
  <c r="AL110" i="14" s="1"/>
  <c r="AR55" i="13"/>
  <c r="AR54" i="13"/>
  <c r="AE41" i="9"/>
  <c r="AE34" i="20" s="1"/>
  <c r="AR21" i="20"/>
  <c r="AU12" i="20"/>
  <c r="AI111" i="14"/>
  <c r="AK81" i="9"/>
  <c r="AK60" i="20" s="1"/>
  <c r="K35" i="13"/>
  <c r="AW12" i="20"/>
  <c r="I129" i="9"/>
  <c r="I136" i="9" s="1"/>
  <c r="AY87" i="13"/>
  <c r="AP55" i="13"/>
  <c r="AP54" i="13"/>
  <c r="K17" i="9"/>
  <c r="L20" i="22" s="1"/>
  <c r="J109" i="14"/>
  <c r="M14" i="20"/>
  <c r="AT74" i="13"/>
  <c r="AT75" i="13" s="1"/>
  <c r="AT35" i="13" s="1"/>
  <c r="AS16" i="20"/>
  <c r="AF34" i="9"/>
  <c r="BA9" i="9"/>
  <c r="BA13" i="20"/>
  <c r="AS54" i="13"/>
  <c r="AD62" i="14"/>
  <c r="I62" i="14" s="1"/>
  <c r="I63" i="14"/>
  <c r="AD41" i="14"/>
  <c r="M10" i="9"/>
  <c r="AR16" i="20"/>
  <c r="AY9" i="9"/>
  <c r="AY13" i="20"/>
  <c r="AJ191" i="1"/>
  <c r="AI45" i="13"/>
  <c r="AI81" i="9"/>
  <c r="AP35" i="13"/>
  <c r="AP76" i="13"/>
  <c r="AU14" i="9"/>
  <c r="AU18" i="20"/>
  <c r="AU26" i="14"/>
  <c r="AY18" i="14"/>
  <c r="AH20" i="9"/>
  <c r="AH29" i="9"/>
  <c r="AH13" i="16"/>
  <c r="AH17" i="16"/>
  <c r="AQ17" i="9"/>
  <c r="AQ31" i="9"/>
  <c r="AM89" i="9"/>
  <c r="AM40" i="14"/>
  <c r="AT8" i="9"/>
  <c r="M9" i="9"/>
  <c r="AR31" i="9"/>
  <c r="AR17" i="9"/>
  <c r="AQ35" i="13"/>
  <c r="AQ76" i="13"/>
  <c r="N14" i="13"/>
  <c r="AX17" i="13"/>
  <c r="AX28" i="13"/>
  <c r="AX10" i="9"/>
  <c r="AX14" i="20"/>
  <c r="AZ17" i="13"/>
  <c r="AZ28" i="13"/>
  <c r="AZ10" i="9"/>
  <c r="AZ14" i="20"/>
  <c r="AI59" i="20"/>
  <c r="AR56" i="13"/>
  <c r="M26" i="14"/>
  <c r="M17" i="20"/>
  <c r="AF71" i="14"/>
  <c r="AF75" i="14"/>
  <c r="BA25" i="15"/>
  <c r="BA66" i="15"/>
  <c r="BA65" i="15" s="1"/>
  <c r="AV23" i="15"/>
  <c r="AV27" i="15"/>
  <c r="AZ18" i="15"/>
  <c r="AV19" i="9"/>
  <c r="AV23" i="20"/>
  <c r="AS41" i="14"/>
  <c r="AS62" i="14"/>
  <c r="AY37" i="14"/>
  <c r="AL15" i="26"/>
  <c r="AL30" i="26"/>
  <c r="AL24" i="9"/>
  <c r="AG86" i="20"/>
  <c r="AG41" i="9"/>
  <c r="J24" i="22"/>
  <c r="I29" i="9"/>
  <c r="AW22" i="15"/>
  <c r="BA17" i="15"/>
  <c r="AW26" i="15"/>
  <c r="AW18" i="9"/>
  <c r="AW22" i="20"/>
  <c r="L23" i="20"/>
  <c r="AU58" i="13"/>
  <c r="AU53" i="13" s="1"/>
  <c r="AU82" i="14"/>
  <c r="AU83" i="14" s="1"/>
  <c r="AU94" i="14" s="1"/>
  <c r="AU93" i="14" s="1"/>
  <c r="AU97" i="14" s="1"/>
  <c r="AU96" i="14" s="1"/>
  <c r="AU99" i="14" s="1"/>
  <c r="AU85" i="14" s="1"/>
  <c r="AU87" i="14" s="1"/>
  <c r="AU63" i="14" s="1"/>
  <c r="AZ87" i="13"/>
  <c r="AW30" i="9"/>
  <c r="L30" i="9"/>
  <c r="M16" i="22"/>
  <c r="AS56" i="13"/>
  <c r="AZ37" i="14"/>
  <c r="AV8" i="9"/>
  <c r="AV19" i="13"/>
  <c r="AV25" i="13"/>
  <c r="L53" i="13"/>
  <c r="AP60" i="13"/>
  <c r="AP64" i="13"/>
  <c r="AY13" i="9"/>
  <c r="AY17" i="20"/>
  <c r="AY33" i="14"/>
  <c r="AY104" i="14"/>
  <c r="AJ68" i="20"/>
  <c r="AO89" i="9"/>
  <c r="AO40" i="14"/>
  <c r="AH24" i="20"/>
  <c r="AI19" i="16"/>
  <c r="AI14" i="16"/>
  <c r="AI22" i="16"/>
  <c r="AI9" i="16"/>
  <c r="AJ10" i="16"/>
  <c r="AI21" i="9"/>
  <c r="AI25" i="20"/>
  <c r="AI24" i="20" s="1"/>
  <c r="AT12" i="20"/>
  <c r="M13" i="20"/>
  <c r="M49" i="18"/>
  <c r="M13" i="26" s="1"/>
  <c r="M17" i="13"/>
  <c r="M22" i="13"/>
  <c r="BA18" i="15"/>
  <c r="AW23" i="15"/>
  <c r="AW27" i="15"/>
  <c r="AW19" i="9"/>
  <c r="AW23" i="20"/>
  <c r="AH30" i="16"/>
  <c r="AH35" i="16"/>
  <c r="AH107" i="9"/>
  <c r="BA37" i="14"/>
  <c r="BA87" i="13"/>
  <c r="AE34" i="9"/>
  <c r="M21" i="13"/>
  <c r="M23" i="18"/>
  <c r="M20" i="13"/>
  <c r="J24" i="9"/>
  <c r="K27" i="22" s="1"/>
  <c r="AH23" i="9"/>
  <c r="J23" i="9" s="1"/>
  <c r="K26" i="22" s="1"/>
  <c r="AQ41" i="14"/>
  <c r="AQ62" i="14"/>
  <c r="AX37" i="14"/>
  <c r="N22" i="14"/>
  <c r="AQ54" i="13"/>
  <c r="AH65" i="14"/>
  <c r="AH111" i="14"/>
  <c r="J110" i="14"/>
  <c r="J111" i="14" s="1"/>
  <c r="AW19" i="13"/>
  <c r="AW25" i="13"/>
  <c r="AW8" i="9"/>
  <c r="AJ187" i="1"/>
  <c r="AK183" i="1"/>
  <c r="AJ184" i="1"/>
  <c r="AX87" i="13"/>
  <c r="AV30" i="9"/>
  <c r="AY25" i="15"/>
  <c r="AY66" i="15"/>
  <c r="AY65" i="15" s="1"/>
  <c r="AE75" i="14"/>
  <c r="AE71" i="14"/>
  <c r="M13" i="9"/>
  <c r="AT30" i="9"/>
  <c r="AF49" i="14"/>
  <c r="AF53" i="14"/>
  <c r="AS60" i="13"/>
  <c r="AS64" i="13"/>
  <c r="AS62" i="13" s="1"/>
  <c r="AS66" i="13" s="1"/>
  <c r="AS33" i="13" s="1"/>
  <c r="AO15" i="26"/>
  <c r="AO30" i="26"/>
  <c r="AO24" i="9"/>
  <c r="AO23" i="9" s="1"/>
  <c r="I20" i="9"/>
  <c r="J23" i="22" s="1"/>
  <c r="AG27" i="9"/>
  <c r="AG34" i="9" s="1"/>
  <c r="AR41" i="14"/>
  <c r="AR62" i="14"/>
  <c r="M17" i="15"/>
  <c r="AT22" i="15"/>
  <c r="AX17" i="15"/>
  <c r="AT26" i="15"/>
  <c r="AT18" i="9"/>
  <c r="AT22" i="20"/>
  <c r="AI43" i="14"/>
  <c r="AI48" i="14" s="1"/>
  <c r="AI70" i="14"/>
  <c r="AS21" i="20"/>
  <c r="L19" i="9"/>
  <c r="M22" i="22" s="1"/>
  <c r="AX18" i="15"/>
  <c r="M18" i="15"/>
  <c r="AT23" i="15"/>
  <c r="AT27" i="15"/>
  <c r="AT19" i="9"/>
  <c r="AT23" i="20"/>
  <c r="AJ17" i="26"/>
  <c r="AJ27" i="20" s="1"/>
  <c r="AJ33" i="26"/>
  <c r="AJ129" i="9" s="1"/>
  <c r="AY17" i="13"/>
  <c r="AY26" i="13"/>
  <c r="AY28" i="13"/>
  <c r="AY85" i="13"/>
  <c r="AY86" i="13" s="1"/>
  <c r="AY10" i="9"/>
  <c r="AY14" i="20"/>
  <c r="AY20" i="13"/>
  <c r="AY68" i="13"/>
  <c r="AY12" i="13"/>
  <c r="AV74" i="13"/>
  <c r="AV75" i="13" s="1"/>
  <c r="AZ12" i="13"/>
  <c r="AZ20" i="13"/>
  <c r="AZ26" i="13"/>
  <c r="AZ27" i="13"/>
  <c r="AZ68" i="13"/>
  <c r="AZ85" i="13"/>
  <c r="AZ86" i="13" s="1"/>
  <c r="AZ9" i="9"/>
  <c r="AZ13" i="20"/>
  <c r="BA27" i="13"/>
  <c r="L12" i="20"/>
  <c r="I23" i="9"/>
  <c r="J26" i="22" s="1"/>
  <c r="AD27" i="9"/>
  <c r="AD34" i="9" s="1"/>
  <c r="J84" i="21"/>
  <c r="AI90" i="1"/>
  <c r="AG78" i="14"/>
  <c r="AG79" i="14" s="1"/>
  <c r="AG57" i="14" s="1"/>
  <c r="AG76" i="14"/>
  <c r="AE32" i="9"/>
  <c r="AE37" i="9" s="1"/>
  <c r="AE35" i="9"/>
  <c r="AE36" i="9"/>
  <c r="K31" i="9"/>
  <c r="L21" i="22"/>
  <c r="AT58" i="13"/>
  <c r="AT53" i="13" s="1"/>
  <c r="AT82" i="14"/>
  <c r="AX12" i="13"/>
  <c r="AX20" i="13"/>
  <c r="N13" i="13"/>
  <c r="AY27" i="13"/>
  <c r="AX27" i="13"/>
  <c r="AX68" i="13"/>
  <c r="AX85" i="13"/>
  <c r="AX86" i="13" s="1"/>
  <c r="AX26" i="13"/>
  <c r="AX9" i="9"/>
  <c r="AX13" i="20"/>
  <c r="M12" i="13"/>
  <c r="M19" i="13" s="1"/>
  <c r="AT19" i="13"/>
  <c r="AT25" i="13"/>
  <c r="AQ60" i="13"/>
  <c r="AQ64" i="13"/>
  <c r="AQ62" i="13" s="1"/>
  <c r="AQ66" i="13" s="1"/>
  <c r="AQ33" i="13" s="1"/>
  <c r="AW58" i="13"/>
  <c r="AW53" i="13" s="1"/>
  <c r="AW82" i="14"/>
  <c r="AW83" i="14" s="1"/>
  <c r="AW94" i="14" s="1"/>
  <c r="AW93" i="14" s="1"/>
  <c r="AW97" i="14" s="1"/>
  <c r="AW96" i="14" s="1"/>
  <c r="AW99" i="14" s="1"/>
  <c r="AW85" i="14" s="1"/>
  <c r="AW87" i="14" s="1"/>
  <c r="AW63" i="14" s="1"/>
  <c r="AW74" i="13"/>
  <c r="AW75" i="13" s="1"/>
  <c r="AZ25" i="15"/>
  <c r="AZ66" i="15"/>
  <c r="AZ65" i="15" s="1"/>
  <c r="K21" i="20"/>
  <c r="AW14" i="9"/>
  <c r="AW18" i="20"/>
  <c r="AW26" i="14"/>
  <c r="BA18" i="14"/>
  <c r="AZ13" i="9"/>
  <c r="AZ17" i="20"/>
  <c r="AZ33" i="14"/>
  <c r="AZ104" i="14"/>
  <c r="AI17" i="26"/>
  <c r="AI27" i="20" s="1"/>
  <c r="AI33" i="26"/>
  <c r="AI129" i="9" s="1"/>
  <c r="AN15" i="26"/>
  <c r="AN30" i="26"/>
  <c r="AN24" i="9"/>
  <c r="AN23" i="9" s="1"/>
  <c r="AG108" i="9"/>
  <c r="I30" i="16"/>
  <c r="I31" i="16" s="1"/>
  <c r="AR60" i="13"/>
  <c r="AR64" i="13"/>
  <c r="AR62" i="13" s="1"/>
  <c r="AR66" i="13" s="1"/>
  <c r="AR33" i="13" s="1"/>
  <c r="L22" i="20"/>
  <c r="AP21" i="20"/>
  <c r="L23" i="15"/>
  <c r="L22" i="15"/>
  <c r="M12" i="22"/>
  <c r="AS31" i="9"/>
  <c r="AS17" i="9"/>
  <c r="AF110" i="9"/>
  <c r="AU8" i="9"/>
  <c r="BA13" i="9"/>
  <c r="BA17" i="20"/>
  <c r="BA33" i="14"/>
  <c r="BA104" i="14"/>
  <c r="AQ56" i="13"/>
  <c r="AV58" i="13"/>
  <c r="AV53" i="13" s="1"/>
  <c r="AV82" i="14"/>
  <c r="AV83" i="14" s="1"/>
  <c r="AV94" i="14" s="1"/>
  <c r="AV93" i="14" s="1"/>
  <c r="AV97" i="14" s="1"/>
  <c r="AV96" i="14" s="1"/>
  <c r="AV99" i="14" s="1"/>
  <c r="AV85" i="14" s="1"/>
  <c r="AV87" i="14" s="1"/>
  <c r="AV63" i="14" s="1"/>
  <c r="AR35" i="13"/>
  <c r="AR76" i="13"/>
  <c r="N16" i="15"/>
  <c r="AX25" i="15"/>
  <c r="AX66" i="15"/>
  <c r="AX65" i="15" s="1"/>
  <c r="K83" i="14"/>
  <c r="AL94" i="14"/>
  <c r="AL93" i="14" s="1"/>
  <c r="AL97" i="14" s="1"/>
  <c r="AL96" i="14" s="1"/>
  <c r="AL99" i="14" s="1"/>
  <c r="AL85" i="14" s="1"/>
  <c r="L13" i="18"/>
  <c r="L24" i="18"/>
  <c r="AK65" i="14"/>
  <c r="AK111" i="14"/>
  <c r="AK17" i="26"/>
  <c r="AK27" i="20" s="1"/>
  <c r="AK33" i="26"/>
  <c r="AK129" i="9" s="1"/>
  <c r="AU30" i="9"/>
  <c r="AF8" i="1"/>
  <c r="AF103" i="9"/>
  <c r="AF100" i="9" s="1"/>
  <c r="AF34" i="20"/>
  <c r="AF91" i="20" s="1"/>
  <c r="AF85" i="9"/>
  <c r="AF82" i="9" s="1"/>
  <c r="AF94" i="9"/>
  <c r="AF91" i="9" s="1"/>
  <c r="AF70" i="20" s="1"/>
  <c r="AJ59" i="20"/>
  <c r="AR13" i="26"/>
  <c r="AR28" i="20" s="1"/>
  <c r="AS13" i="26"/>
  <c r="AS28" i="20" s="1"/>
  <c r="AP13" i="26"/>
  <c r="AP28" i="20" s="1"/>
  <c r="AQ13" i="26"/>
  <c r="AQ28" i="20" s="1"/>
  <c r="AY17" i="15"/>
  <c r="AU26" i="15"/>
  <c r="AU22" i="15"/>
  <c r="AU18" i="9"/>
  <c r="AU22" i="20"/>
  <c r="AZ17" i="15"/>
  <c r="AV26" i="15"/>
  <c r="AV22" i="15"/>
  <c r="AV18" i="9"/>
  <c r="AV22" i="20"/>
  <c r="AN32" i="13"/>
  <c r="AN41" i="13" s="1"/>
  <c r="AN44" i="13" s="1"/>
  <c r="AN80" i="9"/>
  <c r="AH17" i="26"/>
  <c r="AH33" i="26"/>
  <c r="AH129" i="9" s="1"/>
  <c r="BA17" i="13"/>
  <c r="BA28" i="13"/>
  <c r="BA85" i="13"/>
  <c r="BA86" i="13" s="1"/>
  <c r="BA10" i="9"/>
  <c r="BA14" i="20"/>
  <c r="BA20" i="13"/>
  <c r="BA26" i="13"/>
  <c r="BA68" i="13"/>
  <c r="BA12" i="13"/>
  <c r="AI25" i="1"/>
  <c r="AJ175" i="1"/>
  <c r="AJ177" i="1" s="1"/>
  <c r="AJ190" i="1" s="1"/>
  <c r="AN89" i="9"/>
  <c r="AN40" i="14"/>
  <c r="J85" i="14"/>
  <c r="AH87" i="14"/>
  <c r="AF32" i="9"/>
  <c r="AF37" i="9" s="1"/>
  <c r="AF35" i="9"/>
  <c r="AF36" i="9"/>
  <c r="AX13" i="9"/>
  <c r="AX17" i="20"/>
  <c r="AX33" i="14"/>
  <c r="N17" i="14"/>
  <c r="AX104" i="14"/>
  <c r="AS35" i="13"/>
  <c r="AS76" i="13"/>
  <c r="AM15" i="26"/>
  <c r="AM30" i="26"/>
  <c r="AM24" i="9"/>
  <c r="AM23" i="9" s="1"/>
  <c r="AP17" i="9"/>
  <c r="AP31" i="9"/>
  <c r="L18" i="9"/>
  <c r="L8" i="9"/>
  <c r="M11" i="22" s="1"/>
  <c r="AW15" i="9"/>
  <c r="AW19" i="20"/>
  <c r="AW27" i="14"/>
  <c r="BA19" i="14"/>
  <c r="AU25" i="13"/>
  <c r="AU19" i="13"/>
  <c r="AU74" i="13"/>
  <c r="AU75" i="13" s="1"/>
  <c r="AI68" i="20"/>
  <c r="AU23" i="15"/>
  <c r="AU27" i="15"/>
  <c r="AY18" i="15"/>
  <c r="AU19" i="9"/>
  <c r="AU23" i="20"/>
  <c r="AO32" i="13"/>
  <c r="AO41" i="13" s="1"/>
  <c r="AO44" i="13" s="1"/>
  <c r="AO80" i="9"/>
  <c r="AV12" i="20"/>
  <c r="AM32" i="13"/>
  <c r="AM41" i="13" s="1"/>
  <c r="AM44" i="13" s="1"/>
  <c r="AM80" i="9"/>
  <c r="AP83" i="14"/>
  <c r="L82" i="14"/>
  <c r="N118" i="14"/>
  <c r="AJ45" i="13"/>
  <c r="AJ81" i="9"/>
  <c r="AQ16" i="20" l="1"/>
  <c r="L20" i="20"/>
  <c r="I20" i="12"/>
  <c r="J69" i="13"/>
  <c r="J70" i="13"/>
  <c r="J68" i="13"/>
  <c r="H20" i="12"/>
  <c r="I70" i="13"/>
  <c r="I68" i="13"/>
  <c r="I69" i="13"/>
  <c r="L60" i="13"/>
  <c r="L58" i="13"/>
  <c r="AH32" i="13"/>
  <c r="AH80" i="9"/>
  <c r="J80" i="9" s="1"/>
  <c r="L55" i="13"/>
  <c r="L56" i="13"/>
  <c r="L54" i="13"/>
  <c r="K62" i="13"/>
  <c r="I32" i="13"/>
  <c r="AD41" i="13"/>
  <c r="AD44" i="13" s="1"/>
  <c r="AD59" i="20"/>
  <c r="I59" i="20" s="1"/>
  <c r="I80" i="9"/>
  <c r="AL33" i="13"/>
  <c r="AL32" i="13" s="1"/>
  <c r="K66" i="13"/>
  <c r="AP62" i="13"/>
  <c r="L62" i="13" s="1"/>
  <c r="L64" i="13"/>
  <c r="I65" i="14"/>
  <c r="AZ20" i="14"/>
  <c r="AZ28" i="14" s="1"/>
  <c r="AU16" i="9"/>
  <c r="AT16" i="9"/>
  <c r="AT28" i="14"/>
  <c r="AU28" i="14"/>
  <c r="AX20" i="14"/>
  <c r="AX36" i="14" s="1"/>
  <c r="AY20" i="14"/>
  <c r="AT26" i="14"/>
  <c r="AT36" i="14"/>
  <c r="AU36" i="14"/>
  <c r="L19" i="20"/>
  <c r="AS116" i="14"/>
  <c r="K16" i="20"/>
  <c r="AV28" i="14"/>
  <c r="L25" i="14"/>
  <c r="AR12" i="9"/>
  <c r="BA20" i="14"/>
  <c r="BA16" i="14" s="1"/>
  <c r="BA116" i="14" s="1"/>
  <c r="AP12" i="9"/>
  <c r="AN109" i="14"/>
  <c r="AN110" i="14" s="1"/>
  <c r="AN111" i="14" s="1"/>
  <c r="AT14" i="9"/>
  <c r="L16" i="14"/>
  <c r="K12" i="9"/>
  <c r="L15" i="22" s="1"/>
  <c r="AP114" i="14"/>
  <c r="AP115" i="14" s="1"/>
  <c r="AP109" i="14" s="1"/>
  <c r="AP110" i="14" s="1"/>
  <c r="AU34" i="14"/>
  <c r="AP16" i="20"/>
  <c r="AT27" i="14"/>
  <c r="AM109" i="14"/>
  <c r="AM110" i="14" s="1"/>
  <c r="AM65" i="14" s="1"/>
  <c r="AM43" i="14" s="1"/>
  <c r="AM48" i="14" s="1"/>
  <c r="AW20" i="20"/>
  <c r="AW16" i="20" s="1"/>
  <c r="AP24" i="14"/>
  <c r="AO111" i="14"/>
  <c r="AW16" i="9"/>
  <c r="AP32" i="14"/>
  <c r="AW28" i="14"/>
  <c r="AV27" i="14"/>
  <c r="AU19" i="20"/>
  <c r="AU16" i="20" s="1"/>
  <c r="L16" i="9"/>
  <c r="M19" i="22" s="1"/>
  <c r="AV20" i="20"/>
  <c r="M20" i="14"/>
  <c r="AS114" i="14"/>
  <c r="AS115" i="14" s="1"/>
  <c r="AW24" i="14"/>
  <c r="AW36" i="14"/>
  <c r="AV36" i="14"/>
  <c r="AT34" i="14"/>
  <c r="AX18" i="14"/>
  <c r="AX14" i="9" s="1"/>
  <c r="L15" i="9"/>
  <c r="M18" i="22" s="1"/>
  <c r="AQ32" i="14"/>
  <c r="AU16" i="14"/>
  <c r="AU24" i="14" s="1"/>
  <c r="AU35" i="14"/>
  <c r="AU15" i="9"/>
  <c r="M15" i="9" s="1"/>
  <c r="N18" i="22" s="1"/>
  <c r="AX19" i="14"/>
  <c r="AX19" i="20" s="1"/>
  <c r="AQ114" i="14"/>
  <c r="AQ115" i="14" s="1"/>
  <c r="AU27" i="14"/>
  <c r="AT16" i="14"/>
  <c r="AT32" i="14" s="1"/>
  <c r="M19" i="14"/>
  <c r="M28" i="14" s="1"/>
  <c r="AQ116" i="14"/>
  <c r="AT19" i="20"/>
  <c r="AT16" i="20" s="1"/>
  <c r="AT35" i="14"/>
  <c r="AV16" i="14"/>
  <c r="AV24" i="14" s="1"/>
  <c r="AZ19" i="14"/>
  <c r="AZ15" i="9" s="1"/>
  <c r="AV34" i="14"/>
  <c r="AZ18" i="14"/>
  <c r="AZ14" i="9" s="1"/>
  <c r="M18" i="14"/>
  <c r="M27" i="14" s="1"/>
  <c r="AW34" i="14"/>
  <c r="AV19" i="20"/>
  <c r="AW35" i="14"/>
  <c r="AV14" i="9"/>
  <c r="AV12" i="9" s="1"/>
  <c r="AV26" i="14"/>
  <c r="AV35" i="14"/>
  <c r="AR32" i="14"/>
  <c r="AS32" i="14"/>
  <c r="AR24" i="14"/>
  <c r="AR114" i="14"/>
  <c r="AR115" i="14" s="1"/>
  <c r="AR109" i="14" s="1"/>
  <c r="AR110" i="14" s="1"/>
  <c r="AR65" i="14" s="1"/>
  <c r="AR43" i="14" s="1"/>
  <c r="L24" i="14"/>
  <c r="I117" i="20"/>
  <c r="I118" i="20" s="1"/>
  <c r="AI31" i="20"/>
  <c r="I27" i="20"/>
  <c r="AD31" i="20"/>
  <c r="I31" i="20" s="1"/>
  <c r="AH27" i="20"/>
  <c r="J27" i="20" s="1"/>
  <c r="J28" i="20"/>
  <c r="I138" i="9"/>
  <c r="I139" i="9" s="1"/>
  <c r="AJ35" i="26"/>
  <c r="AJ138" i="9" s="1"/>
  <c r="AJ117" i="20" s="1"/>
  <c r="AH35" i="26"/>
  <c r="AH138" i="9" s="1"/>
  <c r="AH117" i="20" s="1"/>
  <c r="AK35" i="26"/>
  <c r="AK138" i="9" s="1"/>
  <c r="AK117" i="20" s="1"/>
  <c r="AI35" i="26"/>
  <c r="AI138" i="9" s="1"/>
  <c r="AI117" i="20" s="1"/>
  <c r="AE112" i="9"/>
  <c r="AE109" i="9" s="1"/>
  <c r="AE110" i="9" s="1"/>
  <c r="AY12" i="20"/>
  <c r="AE53" i="14"/>
  <c r="AE54" i="14" s="1"/>
  <c r="AE103" i="9"/>
  <c r="AE100" i="9" s="1"/>
  <c r="AE101" i="9" s="1"/>
  <c r="AV55" i="13"/>
  <c r="AJ70" i="14"/>
  <c r="AJ71" i="14" s="1"/>
  <c r="AG54" i="14"/>
  <c r="AU56" i="13"/>
  <c r="AZ12" i="20"/>
  <c r="AD70" i="14"/>
  <c r="AD75" i="14" s="1"/>
  <c r="BA12" i="20"/>
  <c r="L17" i="9"/>
  <c r="M20" i="22" s="1"/>
  <c r="AY74" i="13"/>
  <c r="AY75" i="13" s="1"/>
  <c r="AY35" i="13" s="1"/>
  <c r="AE94" i="9"/>
  <c r="AE91" i="9" s="1"/>
  <c r="AE70" i="20" s="1"/>
  <c r="AE8" i="1"/>
  <c r="AH197" i="1" s="1"/>
  <c r="AW54" i="13"/>
  <c r="AE85" i="9"/>
  <c r="AE82" i="9" s="1"/>
  <c r="AE61" i="20" s="1"/>
  <c r="AV21" i="20"/>
  <c r="AT76" i="13"/>
  <c r="AR111" i="14"/>
  <c r="AT55" i="13"/>
  <c r="AZ74" i="13"/>
  <c r="AZ75" i="13" s="1"/>
  <c r="AZ35" i="13" s="1"/>
  <c r="BA74" i="13"/>
  <c r="BA75" i="13" s="1"/>
  <c r="BA35" i="13" s="1"/>
  <c r="N13" i="22"/>
  <c r="AT54" i="13"/>
  <c r="M41" i="18"/>
  <c r="M42" i="18" s="1"/>
  <c r="AW116" i="14"/>
  <c r="AW114" i="14"/>
  <c r="AW115" i="14" s="1"/>
  <c r="L21" i="20"/>
  <c r="J129" i="9"/>
  <c r="J136" i="9" s="1"/>
  <c r="AX74" i="13"/>
  <c r="AX75" i="13" s="1"/>
  <c r="AX76" i="13" s="1"/>
  <c r="AU54" i="13"/>
  <c r="AT56" i="13"/>
  <c r="AW55" i="13"/>
  <c r="AD40" i="14"/>
  <c r="I40" i="14" s="1"/>
  <c r="I41" i="14"/>
  <c r="H21" i="12" s="1"/>
  <c r="H24" i="12" s="1"/>
  <c r="H58" i="12" s="1"/>
  <c r="H26" i="12" s="1"/>
  <c r="AD89" i="9"/>
  <c r="AK191" i="1"/>
  <c r="AN45" i="13"/>
  <c r="AN81" i="9"/>
  <c r="AM59" i="20"/>
  <c r="AO45" i="13"/>
  <c r="AO81" i="9"/>
  <c r="AU35" i="13"/>
  <c r="AU76" i="13"/>
  <c r="AH63" i="14"/>
  <c r="J87" i="14"/>
  <c r="AN68" i="20"/>
  <c r="BA19" i="13"/>
  <c r="BA25" i="13"/>
  <c r="AZ26" i="15"/>
  <c r="AZ22" i="15"/>
  <c r="AZ18" i="9"/>
  <c r="AZ22" i="20"/>
  <c r="AP15" i="26"/>
  <c r="AP30" i="26"/>
  <c r="AP24" i="9"/>
  <c r="AF133" i="1"/>
  <c r="AF30" i="1"/>
  <c r="G54" i="21" s="1"/>
  <c r="AF103" i="1"/>
  <c r="AI197" i="1"/>
  <c r="AG69" i="20"/>
  <c r="BA30" i="9"/>
  <c r="AG87" i="20"/>
  <c r="I87" i="20" s="1"/>
  <c r="I108" i="9"/>
  <c r="M18" i="20"/>
  <c r="BA14" i="9"/>
  <c r="BA18" i="20"/>
  <c r="BA26" i="14"/>
  <c r="AX12" i="20"/>
  <c r="N13" i="20"/>
  <c r="P13" i="20" s="1"/>
  <c r="AX58" i="13"/>
  <c r="AX53" i="13" s="1"/>
  <c r="AX82" i="14"/>
  <c r="N21" i="13"/>
  <c r="N23" i="18"/>
  <c r="P13" i="13"/>
  <c r="N20" i="13"/>
  <c r="M53" i="13"/>
  <c r="AT60" i="13"/>
  <c r="AT64" i="13"/>
  <c r="AZ58" i="13"/>
  <c r="AZ53" i="13" s="1"/>
  <c r="AZ82" i="14"/>
  <c r="AZ83" i="14" s="1"/>
  <c r="AZ94" i="14" s="1"/>
  <c r="AZ93" i="14" s="1"/>
  <c r="AZ97" i="14" s="1"/>
  <c r="AZ96" i="14" s="1"/>
  <c r="AZ99" i="14" s="1"/>
  <c r="AZ85" i="14" s="1"/>
  <c r="AZ87" i="14" s="1"/>
  <c r="AZ63" i="14" s="1"/>
  <c r="AY25" i="13"/>
  <c r="AY19" i="13"/>
  <c r="AY8" i="9"/>
  <c r="AT21" i="20"/>
  <c r="M22" i="20"/>
  <c r="AG32" i="9"/>
  <c r="AG37" i="9" s="1"/>
  <c r="AG35" i="9"/>
  <c r="AG36" i="9"/>
  <c r="AO17" i="26"/>
  <c r="AO27" i="20" s="1"/>
  <c r="AO33" i="26"/>
  <c r="AO129" i="9" s="1"/>
  <c r="AF56" i="14"/>
  <c r="AF90" i="9" s="1"/>
  <c r="AF54" i="14"/>
  <c r="P22" i="14"/>
  <c r="N29" i="14"/>
  <c r="AH86" i="20"/>
  <c r="BA23" i="15"/>
  <c r="BA27" i="15"/>
  <c r="BA19" i="9"/>
  <c r="BA23" i="20"/>
  <c r="AI20" i="9"/>
  <c r="AI27" i="9" s="1"/>
  <c r="AI29" i="9"/>
  <c r="AW56" i="13"/>
  <c r="AU60" i="13"/>
  <c r="AU64" i="13"/>
  <c r="AU62" i="13" s="1"/>
  <c r="AU66" i="13" s="1"/>
  <c r="AU33" i="13" s="1"/>
  <c r="AJ49" i="14"/>
  <c r="AJ53" i="14"/>
  <c r="BA22" i="15"/>
  <c r="BA26" i="15"/>
  <c r="BA18" i="9"/>
  <c r="BA22" i="20"/>
  <c r="I86" i="20"/>
  <c r="AL17" i="26"/>
  <c r="AL33" i="26"/>
  <c r="AL129" i="9" s="1"/>
  <c r="AS89" i="9"/>
  <c r="AS40" i="14"/>
  <c r="AF78" i="14"/>
  <c r="AF79" i="14" s="1"/>
  <c r="AF57" i="14" s="1"/>
  <c r="AF76" i="14"/>
  <c r="N14" i="20"/>
  <c r="P14" i="20" s="1"/>
  <c r="P14" i="13"/>
  <c r="N49" i="18"/>
  <c r="N13" i="26" s="1"/>
  <c r="N17" i="13"/>
  <c r="N22" i="13"/>
  <c r="M8" i="9"/>
  <c r="N11" i="22" s="1"/>
  <c r="AY14" i="9"/>
  <c r="AY18" i="20"/>
  <c r="AY26" i="14"/>
  <c r="L35" i="13"/>
  <c r="N17" i="20"/>
  <c r="P17" i="20" s="1"/>
  <c r="AS15" i="26"/>
  <c r="AS30" i="26"/>
  <c r="AS24" i="9"/>
  <c r="AS23" i="9" s="1"/>
  <c r="AF61" i="20"/>
  <c r="AF83" i="9"/>
  <c r="AV41" i="14"/>
  <c r="AV62" i="14"/>
  <c r="AR32" i="13"/>
  <c r="AR41" i="13" s="1"/>
  <c r="AR44" i="13" s="1"/>
  <c r="AR80" i="9"/>
  <c r="AW76" i="13"/>
  <c r="AW35" i="13"/>
  <c r="AX8" i="9"/>
  <c r="N9" i="9"/>
  <c r="AZ19" i="13"/>
  <c r="AZ25" i="13"/>
  <c r="AY58" i="13"/>
  <c r="AY53" i="13" s="1"/>
  <c r="AY82" i="14"/>
  <c r="AY83" i="14" s="1"/>
  <c r="AY94" i="14" s="1"/>
  <c r="AY93" i="14" s="1"/>
  <c r="AY97" i="14" s="1"/>
  <c r="AY96" i="14" s="1"/>
  <c r="AY99" i="14" s="1"/>
  <c r="AY85" i="14" s="1"/>
  <c r="AY87" i="14" s="1"/>
  <c r="AY63" i="14" s="1"/>
  <c r="M23" i="20"/>
  <c r="AT17" i="9"/>
  <c r="M18" i="9"/>
  <c r="AT31" i="9"/>
  <c r="M23" i="15"/>
  <c r="M22" i="15"/>
  <c r="AH43" i="14"/>
  <c r="J65" i="14"/>
  <c r="AQ89" i="9"/>
  <c r="AQ40" i="14"/>
  <c r="M12" i="20"/>
  <c r="AJ9" i="16"/>
  <c r="AK10" i="16"/>
  <c r="AJ19" i="16"/>
  <c r="AJ14" i="16"/>
  <c r="AJ22" i="16"/>
  <c r="AJ21" i="9"/>
  <c r="AJ25" i="20"/>
  <c r="AJ24" i="20" s="1"/>
  <c r="AJ31" i="20" s="1"/>
  <c r="AY30" i="9"/>
  <c r="AW21" i="20"/>
  <c r="AE82" i="20"/>
  <c r="AE64" i="20"/>
  <c r="AE73" i="20"/>
  <c r="AE91" i="20"/>
  <c r="AG112" i="9"/>
  <c r="AG109" i="9" s="1"/>
  <c r="AG88" i="20" s="1"/>
  <c r="N10" i="9"/>
  <c r="BA58" i="13"/>
  <c r="BA53" i="13" s="1"/>
  <c r="BA82" i="14"/>
  <c r="BA83" i="14" s="1"/>
  <c r="BA94" i="14" s="1"/>
  <c r="BA93" i="14" s="1"/>
  <c r="BA97" i="14" s="1"/>
  <c r="BA96" i="14" s="1"/>
  <c r="BA99" i="14" s="1"/>
  <c r="BA85" i="14" s="1"/>
  <c r="BA87" i="14" s="1"/>
  <c r="BA63" i="14" s="1"/>
  <c r="BA8" i="9"/>
  <c r="AV31" i="9"/>
  <c r="AV17" i="9"/>
  <c r="AU21" i="20"/>
  <c r="AY26" i="15"/>
  <c r="AY22" i="15"/>
  <c r="AY18" i="9"/>
  <c r="AY22" i="20"/>
  <c r="AY23" i="15"/>
  <c r="AY27" i="15"/>
  <c r="AY19" i="9"/>
  <c r="AY23" i="20"/>
  <c r="L31" i="9"/>
  <c r="M21" i="22"/>
  <c r="P17" i="14"/>
  <c r="N26" i="14"/>
  <c r="N13" i="9"/>
  <c r="AX30" i="9"/>
  <c r="AJ25" i="1"/>
  <c r="AK175" i="1"/>
  <c r="AN59" i="20"/>
  <c r="AU17" i="9"/>
  <c r="AU31" i="9"/>
  <c r="AR15" i="26"/>
  <c r="AR30" i="26"/>
  <c r="AR24" i="9"/>
  <c r="AR23" i="9" s="1"/>
  <c r="AF82" i="20"/>
  <c r="AF64" i="20"/>
  <c r="AF73" i="20"/>
  <c r="K85" i="14"/>
  <c r="AL87" i="14"/>
  <c r="N21" i="15"/>
  <c r="P16" i="15"/>
  <c r="AV60" i="13"/>
  <c r="AV64" i="13"/>
  <c r="AV62" i="13" s="1"/>
  <c r="AV66" i="13" s="1"/>
  <c r="AV33" i="13" s="1"/>
  <c r="AO43" i="14"/>
  <c r="AO48" i="14" s="1"/>
  <c r="AO70" i="14"/>
  <c r="AW41" i="14"/>
  <c r="AW62" i="14"/>
  <c r="AQ32" i="13"/>
  <c r="AQ41" i="13" s="1"/>
  <c r="AQ44" i="13" s="1"/>
  <c r="AQ80" i="9"/>
  <c r="N12" i="13"/>
  <c r="AX19" i="13"/>
  <c r="AX25" i="13"/>
  <c r="AZ8" i="9"/>
  <c r="AV35" i="13"/>
  <c r="AV76" i="13"/>
  <c r="M19" i="9"/>
  <c r="N22" i="22" s="1"/>
  <c r="N18" i="15"/>
  <c r="AX23" i="15"/>
  <c r="AX27" i="15"/>
  <c r="AX19" i="9"/>
  <c r="AX23" i="20"/>
  <c r="AI75" i="14"/>
  <c r="AI71" i="14"/>
  <c r="AS32" i="13"/>
  <c r="AS41" i="13" s="1"/>
  <c r="AS44" i="13" s="1"/>
  <c r="AS80" i="9"/>
  <c r="AH108" i="9"/>
  <c r="AI13" i="16"/>
  <c r="AI17" i="16"/>
  <c r="AY15" i="9"/>
  <c r="AY19" i="20"/>
  <c r="AY27" i="14"/>
  <c r="AO68" i="20"/>
  <c r="AW31" i="9"/>
  <c r="AW17" i="9"/>
  <c r="K24" i="9"/>
  <c r="L27" i="22" s="1"/>
  <c r="AL23" i="9"/>
  <c r="K23" i="9" s="1"/>
  <c r="L26" i="22" s="1"/>
  <c r="AM68" i="20"/>
  <c r="AH27" i="9"/>
  <c r="K84" i="21"/>
  <c r="AJ90" i="1"/>
  <c r="AM45" i="13"/>
  <c r="AM81" i="9"/>
  <c r="AM17" i="26"/>
  <c r="AM27" i="20" s="1"/>
  <c r="AM33" i="26"/>
  <c r="AM129" i="9" s="1"/>
  <c r="AJ60" i="20"/>
  <c r="L83" i="14"/>
  <c r="AP94" i="14"/>
  <c r="AP93" i="14" s="1"/>
  <c r="AP97" i="14" s="1"/>
  <c r="AP96" i="14" s="1"/>
  <c r="AP99" i="14" s="1"/>
  <c r="AP85" i="14" s="1"/>
  <c r="AO59" i="20"/>
  <c r="AL65" i="14"/>
  <c r="AL111" i="14"/>
  <c r="BA15" i="9"/>
  <c r="BA19" i="20"/>
  <c r="BA27" i="14"/>
  <c r="AQ15" i="26"/>
  <c r="AQ30" i="26"/>
  <c r="AQ24" i="9"/>
  <c r="AQ23" i="9" s="1"/>
  <c r="AF101" i="9"/>
  <c r="AF79" i="20"/>
  <c r="AK43" i="14"/>
  <c r="AK48" i="14" s="1"/>
  <c r="AK70" i="14"/>
  <c r="AF89" i="20"/>
  <c r="AN17" i="26"/>
  <c r="AN27" i="20" s="1"/>
  <c r="AN33" i="26"/>
  <c r="AN129" i="9" s="1"/>
  <c r="AZ30" i="9"/>
  <c r="AW60" i="13"/>
  <c r="AW64" i="13"/>
  <c r="AW62" i="13" s="1"/>
  <c r="AW66" i="13" s="1"/>
  <c r="AW33" i="13" s="1"/>
  <c r="M82" i="14"/>
  <c r="AT83" i="14"/>
  <c r="AD32" i="9"/>
  <c r="AD37" i="9" s="1"/>
  <c r="I27" i="9"/>
  <c r="I34" i="9" s="1"/>
  <c r="AD35" i="9"/>
  <c r="AD36" i="9"/>
  <c r="AI49" i="14"/>
  <c r="AI53" i="14"/>
  <c r="N17" i="15"/>
  <c r="AX22" i="15"/>
  <c r="AX26" i="15"/>
  <c r="AX18" i="9"/>
  <c r="AX22" i="20"/>
  <c r="AR89" i="9"/>
  <c r="AR40" i="14"/>
  <c r="M30" i="9"/>
  <c r="N16" i="22"/>
  <c r="AE76" i="14"/>
  <c r="AE78" i="14"/>
  <c r="AE79" i="14" s="1"/>
  <c r="AE57" i="14" s="1"/>
  <c r="AK187" i="1"/>
  <c r="AL183" i="1"/>
  <c r="AK184" i="1"/>
  <c r="J184" i="1" s="1"/>
  <c r="K53" i="22" s="1"/>
  <c r="K56" i="22" s="1"/>
  <c r="M13" i="18"/>
  <c r="M24" i="18"/>
  <c r="AV13" i="26"/>
  <c r="AV28" i="20" s="1"/>
  <c r="AW13" i="26"/>
  <c r="AW28" i="20" s="1"/>
  <c r="AT13" i="26"/>
  <c r="AT28" i="20" s="1"/>
  <c r="AU13" i="26"/>
  <c r="AU28" i="20" s="1"/>
  <c r="AI30" i="16"/>
  <c r="AI108" i="9" s="1"/>
  <c r="AI35" i="16"/>
  <c r="AI107" i="9"/>
  <c r="AU41" i="14"/>
  <c r="AU62" i="14"/>
  <c r="AG8" i="1"/>
  <c r="AG103" i="9"/>
  <c r="AG100" i="9" s="1"/>
  <c r="AG34" i="20"/>
  <c r="AG91" i="20" s="1"/>
  <c r="AG85" i="9"/>
  <c r="AG82" i="9" s="1"/>
  <c r="AG94" i="9"/>
  <c r="AG91" i="9" s="1"/>
  <c r="AG70" i="20" s="1"/>
  <c r="AZ23" i="15"/>
  <c r="AZ27" i="15"/>
  <c r="AZ19" i="9"/>
  <c r="AZ23" i="20"/>
  <c r="AV56" i="13"/>
  <c r="N12" i="22"/>
  <c r="AI60" i="20"/>
  <c r="AU55" i="13"/>
  <c r="AV54" i="13"/>
  <c r="L16" i="20" l="1"/>
  <c r="AZ20" i="20"/>
  <c r="AZ16" i="9"/>
  <c r="AZ12" i="9" s="1"/>
  <c r="AH59" i="20"/>
  <c r="J59" i="20" s="1"/>
  <c r="AP66" i="13"/>
  <c r="AP33" i="13" s="1"/>
  <c r="L33" i="13" s="1"/>
  <c r="J32" i="13"/>
  <c r="AH41" i="13"/>
  <c r="AH44" i="13" s="1"/>
  <c r="M60" i="13"/>
  <c r="M58" i="13"/>
  <c r="M56" i="13"/>
  <c r="M54" i="13"/>
  <c r="M55" i="13"/>
  <c r="AL80" i="9"/>
  <c r="K33" i="13"/>
  <c r="AX20" i="20"/>
  <c r="K32" i="13"/>
  <c r="AL41" i="13"/>
  <c r="AL44" i="13" s="1"/>
  <c r="K44" i="13" s="1"/>
  <c r="AX16" i="9"/>
  <c r="AD81" i="9"/>
  <c r="I44" i="13"/>
  <c r="I45" i="13" s="1"/>
  <c r="AD45" i="13"/>
  <c r="AX28" i="14"/>
  <c r="AT12" i="9"/>
  <c r="M16" i="9"/>
  <c r="N19" i="22" s="1"/>
  <c r="AR70" i="14"/>
  <c r="AR71" i="14" s="1"/>
  <c r="AT62" i="13"/>
  <c r="M62" i="13" s="1"/>
  <c r="M64" i="13"/>
  <c r="AX26" i="14"/>
  <c r="AX34" i="14"/>
  <c r="AT66" i="13"/>
  <c r="AY36" i="14"/>
  <c r="BA20" i="20"/>
  <c r="BA16" i="20" s="1"/>
  <c r="AX18" i="20"/>
  <c r="BA16" i="9"/>
  <c r="BA12" i="9" s="1"/>
  <c r="AY34" i="14"/>
  <c r="AS109" i="14"/>
  <c r="AS110" i="14" s="1"/>
  <c r="AS65" i="14" s="1"/>
  <c r="AS70" i="14" s="1"/>
  <c r="L12" i="9"/>
  <c r="M15" i="22" s="1"/>
  <c r="AY28" i="14"/>
  <c r="AY16" i="14"/>
  <c r="AY24" i="14" s="1"/>
  <c r="N20" i="14"/>
  <c r="P20" i="14" s="1"/>
  <c r="AY20" i="20"/>
  <c r="AY16" i="9"/>
  <c r="AZ36" i="14"/>
  <c r="BA28" i="14"/>
  <c r="BA36" i="14"/>
  <c r="AM111" i="14"/>
  <c r="K110" i="14"/>
  <c r="K111" i="14" s="1"/>
  <c r="AM70" i="14"/>
  <c r="AM75" i="14" s="1"/>
  <c r="AN65" i="14"/>
  <c r="AN70" i="14" s="1"/>
  <c r="AN75" i="14" s="1"/>
  <c r="M20" i="20"/>
  <c r="K109" i="14"/>
  <c r="AQ109" i="14"/>
  <c r="AQ110" i="14" s="1"/>
  <c r="AQ65" i="14" s="1"/>
  <c r="AQ43" i="14" s="1"/>
  <c r="AQ48" i="14" s="1"/>
  <c r="AW12" i="9"/>
  <c r="AZ19" i="20"/>
  <c r="N19" i="20" s="1"/>
  <c r="P19" i="20" s="1"/>
  <c r="AU32" i="14"/>
  <c r="BA34" i="14"/>
  <c r="AU116" i="14"/>
  <c r="AZ35" i="14"/>
  <c r="AZ16" i="14"/>
  <c r="AZ24" i="14" s="1"/>
  <c r="AU114" i="14"/>
  <c r="AU115" i="14" s="1"/>
  <c r="BA35" i="14"/>
  <c r="AZ27" i="14"/>
  <c r="AT24" i="14"/>
  <c r="AZ34" i="14"/>
  <c r="AV16" i="20"/>
  <c r="M16" i="20" s="1"/>
  <c r="M19" i="20"/>
  <c r="N18" i="14"/>
  <c r="P18" i="14" s="1"/>
  <c r="AZ26" i="14"/>
  <c r="AU12" i="9"/>
  <c r="AZ18" i="20"/>
  <c r="AT116" i="14"/>
  <c r="AV116" i="14"/>
  <c r="N19" i="14"/>
  <c r="N28" i="14" s="1"/>
  <c r="AW32" i="14"/>
  <c r="AV114" i="14"/>
  <c r="AV115" i="14" s="1"/>
  <c r="AX35" i="14"/>
  <c r="AX15" i="9"/>
  <c r="N15" i="9" s="1"/>
  <c r="AY35" i="14"/>
  <c r="AV32" i="14"/>
  <c r="AX27" i="14"/>
  <c r="AT114" i="14"/>
  <c r="AT115" i="14" s="1"/>
  <c r="AX16" i="14"/>
  <c r="AX116" i="14" s="1"/>
  <c r="M14" i="9"/>
  <c r="N17" i="22" s="1"/>
  <c r="M16" i="14"/>
  <c r="M24" i="14" s="1"/>
  <c r="M25" i="14"/>
  <c r="J117" i="20"/>
  <c r="J118" i="20" s="1"/>
  <c r="AH31" i="20"/>
  <c r="AZ55" i="13"/>
  <c r="AE88" i="20"/>
  <c r="AL27" i="20"/>
  <c r="K27" i="20" s="1"/>
  <c r="K28" i="20"/>
  <c r="J138" i="9"/>
  <c r="J139" i="9" s="1"/>
  <c r="AN35" i="26"/>
  <c r="AN138" i="9" s="1"/>
  <c r="AN117" i="20" s="1"/>
  <c r="AM35" i="26"/>
  <c r="AM138" i="9" s="1"/>
  <c r="AM117" i="20" s="1"/>
  <c r="AO35" i="26"/>
  <c r="AO138" i="9" s="1"/>
  <c r="AO117" i="20" s="1"/>
  <c r="AL35" i="26"/>
  <c r="AL138" i="9" s="1"/>
  <c r="AJ75" i="14"/>
  <c r="AJ78" i="14" s="1"/>
  <c r="AJ79" i="14" s="1"/>
  <c r="AJ57" i="14" s="1"/>
  <c r="AX35" i="13"/>
  <c r="N35" i="13" s="1"/>
  <c r="P35" i="13" s="1"/>
  <c r="AE79" i="20"/>
  <c r="I70" i="14"/>
  <c r="I71" i="14" s="1"/>
  <c r="AE56" i="14"/>
  <c r="AE90" i="9" s="1"/>
  <c r="AE92" i="9" s="1"/>
  <c r="AZ76" i="13"/>
  <c r="BA76" i="13"/>
  <c r="AE103" i="1"/>
  <c r="AF54" i="1" s="1"/>
  <c r="AY56" i="13"/>
  <c r="AY55" i="13"/>
  <c r="BA54" i="13"/>
  <c r="AD71" i="14"/>
  <c r="BA114" i="14"/>
  <c r="BA115" i="14" s="1"/>
  <c r="BA109" i="14" s="1"/>
  <c r="BA110" i="14" s="1"/>
  <c r="AE133" i="1"/>
  <c r="AF64" i="1" s="1"/>
  <c r="AX56" i="13"/>
  <c r="BA24" i="14"/>
  <c r="AE30" i="1"/>
  <c r="F54" i="21" s="1"/>
  <c r="F55" i="21" s="1"/>
  <c r="AY76" i="13"/>
  <c r="AE83" i="9"/>
  <c r="AE62" i="20" s="1"/>
  <c r="AX54" i="13"/>
  <c r="AX55" i="13"/>
  <c r="AZ54" i="13"/>
  <c r="AY54" i="13"/>
  <c r="AS111" i="14"/>
  <c r="AZ56" i="13"/>
  <c r="N14" i="9"/>
  <c r="O17" i="22" s="1"/>
  <c r="BA55" i="13"/>
  <c r="M35" i="13"/>
  <c r="AW109" i="14"/>
  <c r="AW110" i="14" s="1"/>
  <c r="AW65" i="14" s="1"/>
  <c r="AW43" i="14" s="1"/>
  <c r="AD48" i="14"/>
  <c r="AY21" i="20"/>
  <c r="AR48" i="14"/>
  <c r="AR49" i="14" s="1"/>
  <c r="M17" i="9"/>
  <c r="N20" i="22" s="1"/>
  <c r="N19" i="9"/>
  <c r="O22" i="22" s="1"/>
  <c r="AD41" i="9"/>
  <c r="AD94" i="9" s="1"/>
  <c r="AD91" i="9" s="1"/>
  <c r="I89" i="9"/>
  <c r="AD68" i="20"/>
  <c r="AR45" i="13"/>
  <c r="AR81" i="9"/>
  <c r="AS45" i="13"/>
  <c r="AS81" i="9"/>
  <c r="M21" i="20"/>
  <c r="N53" i="13"/>
  <c r="AX60" i="13"/>
  <c r="AX64" i="13"/>
  <c r="AG110" i="9"/>
  <c r="AF145" i="1"/>
  <c r="AZ21" i="20"/>
  <c r="L84" i="21"/>
  <c r="AK90" i="1"/>
  <c r="J90" i="1" s="1"/>
  <c r="J191" i="1"/>
  <c r="K54" i="22" s="1"/>
  <c r="AG101" i="9"/>
  <c r="AG79" i="20"/>
  <c r="AI87" i="20"/>
  <c r="AK75" i="14"/>
  <c r="AK71" i="14"/>
  <c r="AM60" i="20"/>
  <c r="AH32" i="9"/>
  <c r="AH37" i="9" s="1"/>
  <c r="AH35" i="9"/>
  <c r="AH36" i="9"/>
  <c r="AH87" i="20"/>
  <c r="AQ59" i="20"/>
  <c r="AM49" i="14"/>
  <c r="AM53" i="14"/>
  <c r="AR17" i="26"/>
  <c r="AR27" i="20" s="1"/>
  <c r="AR33" i="26"/>
  <c r="AR129" i="9" s="1"/>
  <c r="AY41" i="14"/>
  <c r="AY62" i="14"/>
  <c r="AV89" i="9"/>
  <c r="AV40" i="14"/>
  <c r="AH34" i="9"/>
  <c r="AQ45" i="13"/>
  <c r="AQ81" i="9"/>
  <c r="AG30" i="1"/>
  <c r="H54" i="21" s="1"/>
  <c r="AG103" i="1"/>
  <c r="AG133" i="1"/>
  <c r="AJ197" i="1"/>
  <c r="AU89" i="9"/>
  <c r="AU40" i="14"/>
  <c r="AU15" i="26"/>
  <c r="AU30" i="26"/>
  <c r="AU24" i="9"/>
  <c r="AU23" i="9" s="1"/>
  <c r="AL187" i="1"/>
  <c r="AM183" i="1"/>
  <c r="AL184" i="1"/>
  <c r="M83" i="14"/>
  <c r="AT94" i="14"/>
  <c r="AT93" i="14" s="1"/>
  <c r="AT97" i="14" s="1"/>
  <c r="AT96" i="14" s="1"/>
  <c r="AT99" i="14" s="1"/>
  <c r="AT85" i="14" s="1"/>
  <c r="AW32" i="13"/>
  <c r="AW41" i="13" s="1"/>
  <c r="AW44" i="13" s="1"/>
  <c r="AW80" i="9"/>
  <c r="AK49" i="14"/>
  <c r="AK53" i="14"/>
  <c r="AE89" i="20"/>
  <c r="AW89" i="9"/>
  <c r="AW40" i="14"/>
  <c r="AO75" i="14"/>
  <c r="AO71" i="14"/>
  <c r="AV32" i="13"/>
  <c r="AV41" i="13" s="1"/>
  <c r="AV44" i="13" s="1"/>
  <c r="AV80" i="9"/>
  <c r="AL63" i="14"/>
  <c r="K87" i="14"/>
  <c r="J175" i="1"/>
  <c r="AK177" i="1"/>
  <c r="AJ30" i="16"/>
  <c r="AJ108" i="9" s="1"/>
  <c r="AJ35" i="16"/>
  <c r="AJ107" i="9"/>
  <c r="AJ13" i="16"/>
  <c r="AJ17" i="16"/>
  <c r="AP65" i="14"/>
  <c r="AP111" i="14"/>
  <c r="AY60" i="13"/>
  <c r="AY64" i="13"/>
  <c r="AY62" i="13" s="1"/>
  <c r="AY66" i="13" s="1"/>
  <c r="AY33" i="13" s="1"/>
  <c r="P9" i="9"/>
  <c r="O12" i="22"/>
  <c r="AR59" i="20"/>
  <c r="AF62" i="20"/>
  <c r="AS17" i="26"/>
  <c r="AS27" i="20" s="1"/>
  <c r="AS33" i="26"/>
  <c r="AS129" i="9" s="1"/>
  <c r="BA21" i="20"/>
  <c r="AJ56" i="14"/>
  <c r="AJ90" i="9" s="1"/>
  <c r="AJ54" i="14"/>
  <c r="AI34" i="9"/>
  <c r="AF92" i="9"/>
  <c r="AF59" i="9" s="1"/>
  <c r="AF69" i="20"/>
  <c r="N13" i="18"/>
  <c r="N24" i="18"/>
  <c r="L24" i="9"/>
  <c r="M27" i="22" s="1"/>
  <c r="AP23" i="9"/>
  <c r="L23" i="9" s="1"/>
  <c r="M26" i="22" s="1"/>
  <c r="AZ31" i="9"/>
  <c r="AZ17" i="9"/>
  <c r="AN60" i="20"/>
  <c r="AI54" i="14"/>
  <c r="AI56" i="14"/>
  <c r="AI90" i="9" s="1"/>
  <c r="I75" i="14"/>
  <c r="I76" i="14" s="1"/>
  <c r="AD78" i="14"/>
  <c r="AD76" i="14"/>
  <c r="BA60" i="13"/>
  <c r="BA64" i="13"/>
  <c r="BA62" i="13" s="1"/>
  <c r="BA66" i="13" s="1"/>
  <c r="BA33" i="13" s="1"/>
  <c r="AK14" i="16"/>
  <c r="AK22" i="16"/>
  <c r="J22" i="16" s="1"/>
  <c r="I23" i="12" s="1"/>
  <c r="AK9" i="16"/>
  <c r="AL10" i="16"/>
  <c r="AK19" i="16"/>
  <c r="AK21" i="9"/>
  <c r="AK25" i="20"/>
  <c r="J10" i="16"/>
  <c r="AG61" i="20"/>
  <c r="AG83" i="9"/>
  <c r="AI86" i="20"/>
  <c r="AI41" i="9"/>
  <c r="AR68" i="20"/>
  <c r="AL43" i="14"/>
  <c r="L85" i="14"/>
  <c r="AP87" i="14"/>
  <c r="AI76" i="14"/>
  <c r="AI78" i="14"/>
  <c r="AI79" i="14" s="1"/>
  <c r="AI57" i="14" s="1"/>
  <c r="AO49" i="14"/>
  <c r="AO53" i="14"/>
  <c r="N41" i="18"/>
  <c r="N42" i="18" s="1"/>
  <c r="C42" i="18" s="1"/>
  <c r="P10" i="9"/>
  <c r="O13" i="22"/>
  <c r="AZ13" i="26"/>
  <c r="AZ28" i="20" s="1"/>
  <c r="BA13" i="26"/>
  <c r="BA28" i="20" s="1"/>
  <c r="AX13" i="26"/>
  <c r="AX28" i="20" s="1"/>
  <c r="AY13" i="26"/>
  <c r="AY28" i="20" s="1"/>
  <c r="AS68" i="20"/>
  <c r="BA31" i="9"/>
  <c r="BA17" i="9"/>
  <c r="BA56" i="13"/>
  <c r="AI32" i="9"/>
  <c r="AI37" i="9" s="1"/>
  <c r="AI35" i="9"/>
  <c r="AI36" i="9"/>
  <c r="AZ41" i="14"/>
  <c r="AZ62" i="14"/>
  <c r="N12" i="20"/>
  <c r="P12" i="20" s="1"/>
  <c r="AF168" i="1"/>
  <c r="J63" i="14"/>
  <c r="AH41" i="14"/>
  <c r="AH62" i="14"/>
  <c r="AO60" i="20"/>
  <c r="AV15" i="26"/>
  <c r="AV30" i="26"/>
  <c r="AV24" i="9"/>
  <c r="AV23" i="9" s="1"/>
  <c r="AX17" i="9"/>
  <c r="N18" i="9"/>
  <c r="AX31" i="9"/>
  <c r="N30" i="9"/>
  <c r="P13" i="9"/>
  <c r="O16" i="22"/>
  <c r="AJ20" i="9"/>
  <c r="AJ29" i="9"/>
  <c r="AQ68" i="20"/>
  <c r="AT15" i="26"/>
  <c r="AT30" i="26"/>
  <c r="AT24" i="9"/>
  <c r="AG82" i="20"/>
  <c r="AG73" i="20"/>
  <c r="AG64" i="20"/>
  <c r="AW15" i="26"/>
  <c r="AW30" i="26"/>
  <c r="AW24" i="9"/>
  <c r="AW23" i="9" s="1"/>
  <c r="AX21" i="20"/>
  <c r="N22" i="20"/>
  <c r="P22" i="20" s="1"/>
  <c r="N22" i="15"/>
  <c r="P17" i="15"/>
  <c r="N23" i="15"/>
  <c r="I32" i="9"/>
  <c r="I37" i="9" s="1"/>
  <c r="I68" i="9"/>
  <c r="I72" i="9" s="1"/>
  <c r="J30" i="22"/>
  <c r="I35" i="9"/>
  <c r="I36" i="9"/>
  <c r="AF80" i="20"/>
  <c r="AQ17" i="26"/>
  <c r="AQ27" i="20" s="1"/>
  <c r="AQ33" i="26"/>
  <c r="AQ129" i="9" s="1"/>
  <c r="AE80" i="20"/>
  <c r="AS59" i="20"/>
  <c r="N23" i="20"/>
  <c r="P23" i="20" s="1"/>
  <c r="N19" i="13"/>
  <c r="P12" i="13"/>
  <c r="AY17" i="9"/>
  <c r="AY31" i="9"/>
  <c r="BA41" i="14"/>
  <c r="BA62" i="14"/>
  <c r="M31" i="9"/>
  <c r="N21" i="22"/>
  <c r="N8" i="9"/>
  <c r="K129" i="9"/>
  <c r="K136" i="9" s="1"/>
  <c r="AU32" i="13"/>
  <c r="AU41" i="13" s="1"/>
  <c r="AU44" i="13" s="1"/>
  <c r="AU80" i="9"/>
  <c r="AZ60" i="13"/>
  <c r="AZ64" i="13"/>
  <c r="AZ62" i="13" s="1"/>
  <c r="AZ66" i="13" s="1"/>
  <c r="AZ33" i="13" s="1"/>
  <c r="N82" i="14"/>
  <c r="P82" i="14" s="1"/>
  <c r="AX83" i="14"/>
  <c r="AG92" i="9"/>
  <c r="G55" i="21"/>
  <c r="AP17" i="26"/>
  <c r="AP33" i="26"/>
  <c r="AP129" i="9" s="1"/>
  <c r="AM71" i="14" l="1"/>
  <c r="AL81" i="9"/>
  <c r="K81" i="9" s="1"/>
  <c r="AX16" i="20"/>
  <c r="AQ70" i="14"/>
  <c r="AQ71" i="14" s="1"/>
  <c r="L110" i="14"/>
  <c r="L111" i="14" s="1"/>
  <c r="AS43" i="14"/>
  <c r="AS48" i="14" s="1"/>
  <c r="AS53" i="14" s="1"/>
  <c r="L66" i="13"/>
  <c r="N20" i="20"/>
  <c r="P20" i="20" s="1"/>
  <c r="AY16" i="20"/>
  <c r="K20" i="12"/>
  <c r="L70" i="13"/>
  <c r="L68" i="13"/>
  <c r="L69" i="13"/>
  <c r="J20" i="12"/>
  <c r="K69" i="13"/>
  <c r="K70" i="13"/>
  <c r="K68" i="13"/>
  <c r="K45" i="13"/>
  <c r="AL45" i="13"/>
  <c r="N60" i="13"/>
  <c r="N58" i="13"/>
  <c r="AH81" i="9"/>
  <c r="AH45" i="13"/>
  <c r="J44" i="13"/>
  <c r="J45" i="13" s="1"/>
  <c r="N54" i="13"/>
  <c r="N55" i="13"/>
  <c r="M12" i="9"/>
  <c r="N15" i="22" s="1"/>
  <c r="N56" i="13"/>
  <c r="L109" i="14"/>
  <c r="N18" i="20"/>
  <c r="P18" i="20" s="1"/>
  <c r="K80" i="9"/>
  <c r="AL59" i="20"/>
  <c r="K59" i="20" s="1"/>
  <c r="N16" i="9"/>
  <c r="P16" i="9" s="1"/>
  <c r="AR75" i="14"/>
  <c r="AR78" i="14" s="1"/>
  <c r="AR79" i="14" s="1"/>
  <c r="AR57" i="14" s="1"/>
  <c r="AY12" i="9"/>
  <c r="AP80" i="9"/>
  <c r="AP32" i="13"/>
  <c r="I81" i="9"/>
  <c r="AD60" i="20"/>
  <c r="I60" i="20" s="1"/>
  <c r="AT33" i="13"/>
  <c r="M66" i="13"/>
  <c r="AX62" i="13"/>
  <c r="AX66" i="13" s="1"/>
  <c r="N64" i="13"/>
  <c r="AY116" i="14"/>
  <c r="AY114" i="14"/>
  <c r="AY115" i="14" s="1"/>
  <c r="BA32" i="14"/>
  <c r="AN71" i="14"/>
  <c r="K65" i="14"/>
  <c r="AQ111" i="14"/>
  <c r="AN43" i="14"/>
  <c r="AN48" i="14" s="1"/>
  <c r="AN49" i="14" s="1"/>
  <c r="P19" i="14"/>
  <c r="N27" i="14"/>
  <c r="AU109" i="14"/>
  <c r="AU110" i="14" s="1"/>
  <c r="AU65" i="14" s="1"/>
  <c r="N16" i="14"/>
  <c r="P16" i="14" s="1"/>
  <c r="AZ32" i="14"/>
  <c r="N25" i="14"/>
  <c r="AZ114" i="14"/>
  <c r="AZ115" i="14" s="1"/>
  <c r="AZ116" i="14"/>
  <c r="AV109" i="14"/>
  <c r="AV110" i="14" s="1"/>
  <c r="AV65" i="14" s="1"/>
  <c r="AZ16" i="20"/>
  <c r="AX114" i="14"/>
  <c r="AX115" i="14" s="1"/>
  <c r="AX109" i="14" s="1"/>
  <c r="AX110" i="14" s="1"/>
  <c r="AT109" i="14"/>
  <c r="AT110" i="14" s="1"/>
  <c r="AT111" i="14" s="1"/>
  <c r="AX24" i="14"/>
  <c r="AX32" i="14"/>
  <c r="AY32" i="14"/>
  <c r="AX12" i="9"/>
  <c r="K138" i="9"/>
  <c r="K139" i="9" s="1"/>
  <c r="AL117" i="20"/>
  <c r="K117" i="20" s="1"/>
  <c r="K118" i="20" s="1"/>
  <c r="AP27" i="20"/>
  <c r="L27" i="20" s="1"/>
  <c r="L28" i="20"/>
  <c r="AS35" i="26"/>
  <c r="AS138" i="9" s="1"/>
  <c r="AS117" i="20" s="1"/>
  <c r="AR35" i="26"/>
  <c r="AR138" i="9" s="1"/>
  <c r="AR117" i="20" s="1"/>
  <c r="AP35" i="26"/>
  <c r="AP138" i="9" s="1"/>
  <c r="AP117" i="20" s="1"/>
  <c r="AQ35" i="26"/>
  <c r="AQ138" i="9" s="1"/>
  <c r="AQ117" i="20" s="1"/>
  <c r="AJ76" i="14"/>
  <c r="AE69" i="20"/>
  <c r="AE168" i="1"/>
  <c r="AF169" i="1" s="1"/>
  <c r="G22" i="21" s="1"/>
  <c r="BA65" i="14"/>
  <c r="BA43" i="14" s="1"/>
  <c r="BA111" i="14"/>
  <c r="AE59" i="9"/>
  <c r="AE104" i="9" s="1"/>
  <c r="P14" i="9"/>
  <c r="AE145" i="1"/>
  <c r="AR53" i="14"/>
  <c r="AR56" i="14" s="1"/>
  <c r="AR90" i="9" s="1"/>
  <c r="AW111" i="14"/>
  <c r="P19" i="9"/>
  <c r="AW70" i="14"/>
  <c r="AW71" i="14" s="1"/>
  <c r="N21" i="20"/>
  <c r="P21" i="20" s="1"/>
  <c r="AD49" i="14"/>
  <c r="AD53" i="14"/>
  <c r="AW48" i="14"/>
  <c r="AW53" i="14" s="1"/>
  <c r="AD70" i="20"/>
  <c r="I70" i="20" s="1"/>
  <c r="I91" i="9"/>
  <c r="AD103" i="9"/>
  <c r="AD100" i="9" s="1"/>
  <c r="AD8" i="1"/>
  <c r="AD112" i="9"/>
  <c r="AD109" i="9" s="1"/>
  <c r="AD85" i="9"/>
  <c r="AD82" i="9" s="1"/>
  <c r="AD34" i="20"/>
  <c r="AD73" i="20" s="1"/>
  <c r="I41" i="9"/>
  <c r="I68" i="20"/>
  <c r="AU45" i="13"/>
  <c r="AU81" i="9"/>
  <c r="BA89" i="9"/>
  <c r="BA40" i="14"/>
  <c r="P30" i="9"/>
  <c r="AH89" i="9"/>
  <c r="AH40" i="14"/>
  <c r="J41" i="14"/>
  <c r="I21" i="12" s="1"/>
  <c r="I24" i="12" s="1"/>
  <c r="I58" i="12" s="1"/>
  <c r="I26" i="12" s="1"/>
  <c r="AV45" i="13"/>
  <c r="AV81" i="9"/>
  <c r="M85" i="14"/>
  <c r="AT87" i="14"/>
  <c r="I103" i="1"/>
  <c r="AG168" i="1"/>
  <c r="AZ32" i="13"/>
  <c r="AZ41" i="13" s="1"/>
  <c r="AZ44" i="13" s="1"/>
  <c r="AZ80" i="9"/>
  <c r="AW17" i="26"/>
  <c r="AW27" i="20" s="1"/>
  <c r="AW33" i="26"/>
  <c r="AW129" i="9" s="1"/>
  <c r="AT17" i="26"/>
  <c r="AT33" i="26"/>
  <c r="AT129" i="9" s="1"/>
  <c r="AJ27" i="9"/>
  <c r="AJ34" i="9" s="1"/>
  <c r="AY15" i="26"/>
  <c r="AY30" i="26"/>
  <c r="AY24" i="9"/>
  <c r="AY23" i="9" s="1"/>
  <c r="AW45" i="13"/>
  <c r="AW81" i="9"/>
  <c r="AO56" i="14"/>
  <c r="AO90" i="9" s="1"/>
  <c r="AO54" i="14"/>
  <c r="AP63" i="14"/>
  <c r="L87" i="14"/>
  <c r="AI8" i="1"/>
  <c r="AI103" i="9"/>
  <c r="AI100" i="9" s="1"/>
  <c r="AI34" i="20"/>
  <c r="AI91" i="20" s="1"/>
  <c r="AI94" i="9"/>
  <c r="AI91" i="9" s="1"/>
  <c r="AI70" i="20" s="1"/>
  <c r="AI85" i="9"/>
  <c r="AI82" i="9" s="1"/>
  <c r="AK24" i="20"/>
  <c r="AK31" i="20" s="1"/>
  <c r="J25" i="20"/>
  <c r="AK13" i="16"/>
  <c r="AK17" i="16"/>
  <c r="J9" i="16"/>
  <c r="J13" i="16" s="1"/>
  <c r="AY32" i="13"/>
  <c r="AY41" i="13" s="1"/>
  <c r="AY44" i="13" s="1"/>
  <c r="AY80" i="9"/>
  <c r="L65" i="14"/>
  <c r="AP43" i="14"/>
  <c r="AJ86" i="20"/>
  <c r="AJ41" i="9"/>
  <c r="AJ112" i="9" s="1"/>
  <c r="AJ109" i="9" s="1"/>
  <c r="AV59" i="20"/>
  <c r="AU17" i="26"/>
  <c r="AU27" i="20" s="1"/>
  <c r="AU33" i="26"/>
  <c r="AU129" i="9" s="1"/>
  <c r="H55" i="21"/>
  <c r="P15" i="9"/>
  <c r="O18" i="22"/>
  <c r="AY89" i="9"/>
  <c r="AY40" i="14"/>
  <c r="AG89" i="20"/>
  <c r="AR60" i="20"/>
  <c r="AM76" i="14"/>
  <c r="AM78" i="14"/>
  <c r="AM79" i="14" s="1"/>
  <c r="AM57" i="14" s="1"/>
  <c r="AK25" i="1"/>
  <c r="J25" i="1" s="1"/>
  <c r="AL175" i="1"/>
  <c r="AL177" i="1" s="1"/>
  <c r="J177" i="1"/>
  <c r="AK190" i="1"/>
  <c r="AM54" i="14"/>
  <c r="AM56" i="14"/>
  <c r="AM90" i="9" s="1"/>
  <c r="L129" i="9"/>
  <c r="L136" i="9" s="1"/>
  <c r="AG71" i="20"/>
  <c r="N31" i="9"/>
  <c r="P18" i="9"/>
  <c r="O21" i="22"/>
  <c r="AV17" i="26"/>
  <c r="AV27" i="20" s="1"/>
  <c r="AV33" i="26"/>
  <c r="AV129" i="9" s="1"/>
  <c r="AX15" i="26"/>
  <c r="AX30" i="26"/>
  <c r="AX24" i="9"/>
  <c r="AG59" i="9"/>
  <c r="AG62" i="20"/>
  <c r="AK20" i="9"/>
  <c r="AK27" i="9" s="1"/>
  <c r="AK29" i="9"/>
  <c r="AK30" i="16"/>
  <c r="AK35" i="16"/>
  <c r="AK107" i="9"/>
  <c r="AI69" i="20"/>
  <c r="AJ69" i="20"/>
  <c r="AK56" i="14"/>
  <c r="AK90" i="9" s="1"/>
  <c r="AK54" i="14"/>
  <c r="AW59" i="20"/>
  <c r="AQ60" i="20"/>
  <c r="AS75" i="14"/>
  <c r="AS71" i="14"/>
  <c r="AZ15" i="26"/>
  <c r="AZ30" i="26"/>
  <c r="AZ24" i="9"/>
  <c r="AZ23" i="9" s="1"/>
  <c r="J14" i="16"/>
  <c r="J15" i="16"/>
  <c r="AL14" i="16"/>
  <c r="AL22" i="16"/>
  <c r="AL9" i="16"/>
  <c r="AM10" i="16"/>
  <c r="AL19" i="16"/>
  <c r="AL21" i="9"/>
  <c r="AL25" i="20"/>
  <c r="BA32" i="13"/>
  <c r="BA41" i="13" s="1"/>
  <c r="BA44" i="13" s="1"/>
  <c r="BA80" i="9"/>
  <c r="AD79" i="14"/>
  <c r="AD57" i="14" s="1"/>
  <c r="I78" i="14"/>
  <c r="I79" i="14" s="1"/>
  <c r="AF27" i="1"/>
  <c r="AF60" i="9"/>
  <c r="AF52" i="20"/>
  <c r="AF113" i="9"/>
  <c r="K63" i="14"/>
  <c r="AL41" i="14"/>
  <c r="AL62" i="14"/>
  <c r="AO78" i="14"/>
  <c r="AO79" i="14" s="1"/>
  <c r="AO57" i="14" s="1"/>
  <c r="AO76" i="14"/>
  <c r="AW68" i="20"/>
  <c r="AK78" i="14"/>
  <c r="AK79" i="14" s="1"/>
  <c r="AK57" i="14" s="1"/>
  <c r="AK76" i="14"/>
  <c r="AS60" i="20"/>
  <c r="AU59" i="20"/>
  <c r="N83" i="14"/>
  <c r="P83" i="14" s="1"/>
  <c r="AX94" i="14"/>
  <c r="AX93" i="14" s="1"/>
  <c r="AX97" i="14" s="1"/>
  <c r="AX96" i="14" s="1"/>
  <c r="AX99" i="14" s="1"/>
  <c r="AX85" i="14" s="1"/>
  <c r="P8" i="9"/>
  <c r="O11" i="22"/>
  <c r="Q11" i="22" s="1"/>
  <c r="AE71" i="20"/>
  <c r="AF104" i="9"/>
  <c r="AT23" i="9"/>
  <c r="M23" i="9" s="1"/>
  <c r="N26" i="22" s="1"/>
  <c r="M24" i="9"/>
  <c r="N27" i="22" s="1"/>
  <c r="N17" i="9"/>
  <c r="J62" i="14"/>
  <c r="AH70" i="14"/>
  <c r="AG54" i="1"/>
  <c r="AZ89" i="9"/>
  <c r="AZ40" i="14"/>
  <c r="BA15" i="26"/>
  <c r="BA30" i="26"/>
  <c r="BA24" i="9"/>
  <c r="BA23" i="9" s="1"/>
  <c r="AQ49" i="14"/>
  <c r="AQ53" i="14"/>
  <c r="AN78" i="14"/>
  <c r="AN79" i="14" s="1"/>
  <c r="AN57" i="14" s="1"/>
  <c r="AN76" i="14"/>
  <c r="AI112" i="9"/>
  <c r="AI109" i="9" s="1"/>
  <c r="AF95" i="9"/>
  <c r="AF71" i="20"/>
  <c r="AF86" i="9"/>
  <c r="AJ87" i="20"/>
  <c r="AN183" i="1"/>
  <c r="AM184" i="1"/>
  <c r="AM187" i="1"/>
  <c r="AU68" i="20"/>
  <c r="I133" i="1"/>
  <c r="AG64" i="1"/>
  <c r="AG145" i="1"/>
  <c r="I145" i="1" s="1"/>
  <c r="AV68" i="20"/>
  <c r="AG80" i="20"/>
  <c r="J21" i="9"/>
  <c r="AS49" i="14" l="1"/>
  <c r="AQ75" i="14"/>
  <c r="AQ76" i="14" s="1"/>
  <c r="AL60" i="20"/>
  <c r="K60" i="20" s="1"/>
  <c r="N16" i="20"/>
  <c r="P16" i="20" s="1"/>
  <c r="AR76" i="14"/>
  <c r="O19" i="22"/>
  <c r="N12" i="9"/>
  <c r="P12" i="9" s="1"/>
  <c r="AY109" i="14"/>
  <c r="AY110" i="14" s="1"/>
  <c r="AY111" i="14" s="1"/>
  <c r="J81" i="9"/>
  <c r="AH60" i="20"/>
  <c r="J60" i="20" s="1"/>
  <c r="N62" i="13"/>
  <c r="L80" i="9"/>
  <c r="AP59" i="20"/>
  <c r="L59" i="20" s="1"/>
  <c r="AP41" i="13"/>
  <c r="AP44" i="13" s="1"/>
  <c r="L32" i="13"/>
  <c r="AX33" i="13"/>
  <c r="N66" i="13"/>
  <c r="M33" i="13"/>
  <c r="AT80" i="9"/>
  <c r="AT32" i="13"/>
  <c r="AU111" i="14"/>
  <c r="AN53" i="14"/>
  <c r="AN56" i="14" s="1"/>
  <c r="AN90" i="9" s="1"/>
  <c r="AN69" i="20" s="1"/>
  <c r="M110" i="14"/>
  <c r="M111" i="14" s="1"/>
  <c r="AT65" i="14"/>
  <c r="M65" i="14" s="1"/>
  <c r="N24" i="14"/>
  <c r="AZ109" i="14"/>
  <c r="AZ110" i="14" s="1"/>
  <c r="AZ65" i="14" s="1"/>
  <c r="AZ70" i="14" s="1"/>
  <c r="M109" i="14"/>
  <c r="AV111" i="14"/>
  <c r="L117" i="20"/>
  <c r="L118" i="20" s="1"/>
  <c r="L138" i="9"/>
  <c r="L139" i="9" s="1"/>
  <c r="AT27" i="20"/>
  <c r="M27" i="20" s="1"/>
  <c r="M28" i="20"/>
  <c r="AV35" i="26"/>
  <c r="AV138" i="9" s="1"/>
  <c r="AV117" i="20" s="1"/>
  <c r="AW35" i="26"/>
  <c r="AW138" i="9" s="1"/>
  <c r="AW117" i="20" s="1"/>
  <c r="AU35" i="26"/>
  <c r="AU138" i="9" s="1"/>
  <c r="AU117" i="20" s="1"/>
  <c r="AT35" i="26"/>
  <c r="AT138" i="9" s="1"/>
  <c r="AT117" i="20" s="1"/>
  <c r="BA70" i="14"/>
  <c r="BA75" i="14" s="1"/>
  <c r="AW75" i="14"/>
  <c r="AW78" i="14" s="1"/>
  <c r="AW79" i="14" s="1"/>
  <c r="AW57" i="14" s="1"/>
  <c r="AE95" i="9"/>
  <c r="AE27" i="1"/>
  <c r="F19" i="21" s="1"/>
  <c r="AE113" i="9"/>
  <c r="AR54" i="14"/>
  <c r="AE52" i="20"/>
  <c r="AE92" i="20" s="1"/>
  <c r="AE60" i="9"/>
  <c r="AE86" i="9"/>
  <c r="AW49" i="14"/>
  <c r="BA48" i="14"/>
  <c r="BA53" i="14" s="1"/>
  <c r="AD56" i="14"/>
  <c r="AD54" i="14"/>
  <c r="AI92" i="9"/>
  <c r="AI71" i="20" s="1"/>
  <c r="AF74" i="20"/>
  <c r="AD110" i="9"/>
  <c r="AD88" i="20"/>
  <c r="I88" i="20" s="1"/>
  <c r="I109" i="9"/>
  <c r="I103" i="9"/>
  <c r="I112" i="9"/>
  <c r="J34" i="22"/>
  <c r="I85" i="9"/>
  <c r="I69" i="9"/>
  <c r="I73" i="9" s="1"/>
  <c r="AD133" i="1"/>
  <c r="AG197" i="1"/>
  <c r="AD30" i="1"/>
  <c r="AD103" i="1"/>
  <c r="I8" i="1"/>
  <c r="AD91" i="20"/>
  <c r="AD64" i="20"/>
  <c r="I34" i="20"/>
  <c r="I73" i="20" s="1"/>
  <c r="AD82" i="20"/>
  <c r="AD79" i="20"/>
  <c r="I79" i="20" s="1"/>
  <c r="AD101" i="9"/>
  <c r="I100" i="9"/>
  <c r="AD61" i="20"/>
  <c r="I61" i="20" s="1"/>
  <c r="AD83" i="9"/>
  <c r="I82" i="9"/>
  <c r="I94" i="9"/>
  <c r="AJ88" i="20"/>
  <c r="AJ110" i="9"/>
  <c r="AX87" i="14"/>
  <c r="N85" i="14"/>
  <c r="P85" i="14" s="1"/>
  <c r="AG27" i="1"/>
  <c r="AG60" i="9"/>
  <c r="AG52" i="20"/>
  <c r="AG65" i="20" s="1"/>
  <c r="AX17" i="26"/>
  <c r="AX33" i="26"/>
  <c r="AX129" i="9" s="1"/>
  <c r="AG104" i="9"/>
  <c r="AH75" i="14"/>
  <c r="J70" i="14"/>
  <c r="J71" i="14" s="1"/>
  <c r="AH71" i="14"/>
  <c r="AX65" i="14"/>
  <c r="AX111" i="14"/>
  <c r="AL20" i="9"/>
  <c r="AL29" i="9"/>
  <c r="AL30" i="16"/>
  <c r="AL35" i="16"/>
  <c r="AL107" i="9"/>
  <c r="AZ17" i="26"/>
  <c r="AZ27" i="20" s="1"/>
  <c r="AZ33" i="26"/>
  <c r="AZ129" i="9" s="1"/>
  <c r="AK34" i="9"/>
  <c r="AG86" i="9"/>
  <c r="AM69" i="20"/>
  <c r="AL191" i="1"/>
  <c r="J190" i="1"/>
  <c r="AW56" i="14"/>
  <c r="AW90" i="9" s="1"/>
  <c r="AW54" i="14"/>
  <c r="AY59" i="20"/>
  <c r="J20" i="9"/>
  <c r="K23" i="22" s="1"/>
  <c r="AZ59" i="20"/>
  <c r="AT63" i="14"/>
  <c r="M87" i="14"/>
  <c r="AN187" i="1"/>
  <c r="AO183" i="1"/>
  <c r="AN184" i="1"/>
  <c r="AL24" i="20"/>
  <c r="AL31" i="20" s="1"/>
  <c r="AK108" i="9"/>
  <c r="J30" i="16"/>
  <c r="J31" i="16" s="1"/>
  <c r="AI61" i="20"/>
  <c r="AI83" i="9"/>
  <c r="AI133" i="1"/>
  <c r="AI30" i="1"/>
  <c r="J54" i="21" s="1"/>
  <c r="AI103" i="1"/>
  <c r="AR69" i="20"/>
  <c r="K24" i="22"/>
  <c r="J29" i="9"/>
  <c r="AV43" i="14"/>
  <c r="AV48" i="14" s="1"/>
  <c r="AV70" i="14"/>
  <c r="K62" i="14"/>
  <c r="AL70" i="14"/>
  <c r="AF53" i="20"/>
  <c r="AF92" i="20"/>
  <c r="BA59" i="20"/>
  <c r="AF65" i="20"/>
  <c r="AK86" i="20"/>
  <c r="J86" i="20" s="1"/>
  <c r="AK41" i="9"/>
  <c r="J107" i="9"/>
  <c r="AK32" i="9"/>
  <c r="AK37" i="9" s="1"/>
  <c r="AK35" i="9"/>
  <c r="AK36" i="9"/>
  <c r="N24" i="9"/>
  <c r="O27" i="22" s="1"/>
  <c r="AX23" i="9"/>
  <c r="N23" i="9" s="1"/>
  <c r="O26" i="22" s="1"/>
  <c r="Q26" i="22" s="1"/>
  <c r="AF83" i="20"/>
  <c r="AG113" i="9"/>
  <c r="AY68" i="20"/>
  <c r="AY45" i="13"/>
  <c r="AY81" i="9"/>
  <c r="AI82" i="20"/>
  <c r="AI73" i="20"/>
  <c r="AI64" i="20"/>
  <c r="L63" i="14"/>
  <c r="AP41" i="14"/>
  <c r="AP62" i="14"/>
  <c r="AO69" i="20"/>
  <c r="AJ32" i="9"/>
  <c r="AJ37" i="9" s="1"/>
  <c r="AJ35" i="9"/>
  <c r="AJ36" i="9"/>
  <c r="J27" i="9"/>
  <c r="AZ45" i="13"/>
  <c r="AZ81" i="9"/>
  <c r="AG169" i="1"/>
  <c r="I168" i="1"/>
  <c r="J40" i="14"/>
  <c r="AH48" i="14"/>
  <c r="AU43" i="14"/>
  <c r="AU48" i="14" s="1"/>
  <c r="AU70" i="14"/>
  <c r="BA17" i="26"/>
  <c r="BA27" i="20" s="1"/>
  <c r="BA33" i="26"/>
  <c r="BA129" i="9" s="1"/>
  <c r="AL13" i="16"/>
  <c r="AL17" i="16"/>
  <c r="AS56" i="14"/>
  <c r="AS90" i="9" s="1"/>
  <c r="AS54" i="14"/>
  <c r="AI88" i="20"/>
  <c r="AI110" i="9"/>
  <c r="AQ54" i="14"/>
  <c r="AQ56" i="14"/>
  <c r="AQ90" i="9" s="1"/>
  <c r="AZ68" i="20"/>
  <c r="P17" i="9"/>
  <c r="O20" i="22"/>
  <c r="Q20" i="22" s="1"/>
  <c r="AL89" i="9"/>
  <c r="AL40" i="14"/>
  <c r="K41" i="14"/>
  <c r="J21" i="12" s="1"/>
  <c r="G19" i="21"/>
  <c r="AF15" i="1"/>
  <c r="AF198" i="1" s="1"/>
  <c r="BA45" i="13"/>
  <c r="BA81" i="9"/>
  <c r="AM19" i="16"/>
  <c r="AM14" i="16"/>
  <c r="AM22" i="16"/>
  <c r="AM9" i="16"/>
  <c r="AN10" i="16"/>
  <c r="AM21" i="9"/>
  <c r="AM25" i="20"/>
  <c r="AM24" i="20" s="1"/>
  <c r="AM31" i="20" s="1"/>
  <c r="AS78" i="14"/>
  <c r="AS79" i="14" s="1"/>
  <c r="AS57" i="14" s="1"/>
  <c r="AS76" i="14"/>
  <c r="AK69" i="20"/>
  <c r="P31" i="9"/>
  <c r="AG95" i="9"/>
  <c r="AL25" i="1"/>
  <c r="AM175" i="1"/>
  <c r="AM177" i="1" s="1"/>
  <c r="AL190" i="1"/>
  <c r="AJ8" i="1"/>
  <c r="AJ103" i="9"/>
  <c r="AJ100" i="9" s="1"/>
  <c r="AJ34" i="20"/>
  <c r="AJ85" i="9"/>
  <c r="AJ82" i="9" s="1"/>
  <c r="AJ94" i="9"/>
  <c r="AJ91" i="9" s="1"/>
  <c r="J31" i="20"/>
  <c r="J24" i="20"/>
  <c r="AI79" i="20"/>
  <c r="AI101" i="9"/>
  <c r="AW60" i="20"/>
  <c r="AY17" i="26"/>
  <c r="AY27" i="20" s="1"/>
  <c r="AY33" i="26"/>
  <c r="AY129" i="9" s="1"/>
  <c r="M129" i="9"/>
  <c r="M136" i="9" s="1"/>
  <c r="AV60" i="20"/>
  <c r="J89" i="9"/>
  <c r="AH68" i="20"/>
  <c r="AH41" i="9"/>
  <c r="BA68" i="20"/>
  <c r="AU60" i="20"/>
  <c r="AY65" i="14" l="1"/>
  <c r="N65" i="14" s="1"/>
  <c r="P65" i="14" s="1"/>
  <c r="AQ78" i="14"/>
  <c r="AQ79" i="14" s="1"/>
  <c r="AQ57" i="14" s="1"/>
  <c r="O15" i="22"/>
  <c r="Q15" i="22" s="1"/>
  <c r="L20" i="12"/>
  <c r="M70" i="13"/>
  <c r="M68" i="13"/>
  <c r="M69" i="13"/>
  <c r="AP45" i="13"/>
  <c r="L44" i="13"/>
  <c r="L45" i="13" s="1"/>
  <c r="AP81" i="9"/>
  <c r="AT59" i="20"/>
  <c r="M59" i="20" s="1"/>
  <c r="M80" i="9"/>
  <c r="AN54" i="14"/>
  <c r="M32" i="13"/>
  <c r="AT41" i="13"/>
  <c r="AT44" i="13" s="1"/>
  <c r="AX80" i="9"/>
  <c r="AX32" i="13"/>
  <c r="N33" i="13"/>
  <c r="AT43" i="14"/>
  <c r="N110" i="14"/>
  <c r="N111" i="14" s="1"/>
  <c r="AZ111" i="14"/>
  <c r="N109" i="14"/>
  <c r="AZ43" i="14"/>
  <c r="AZ48" i="14" s="1"/>
  <c r="AZ53" i="14" s="1"/>
  <c r="AZ71" i="14"/>
  <c r="AZ75" i="14"/>
  <c r="AZ76" i="14" s="1"/>
  <c r="M117" i="20"/>
  <c r="M118" i="20" s="1"/>
  <c r="M138" i="9"/>
  <c r="M139" i="9" s="1"/>
  <c r="AX27" i="20"/>
  <c r="N27" i="20" s="1"/>
  <c r="P27" i="20" s="1"/>
  <c r="N28" i="20"/>
  <c r="P28" i="20" s="1"/>
  <c r="AZ35" i="26"/>
  <c r="AZ138" i="9" s="1"/>
  <c r="AZ117" i="20" s="1"/>
  <c r="AY35" i="26"/>
  <c r="AY138" i="9" s="1"/>
  <c r="AY117" i="20" s="1"/>
  <c r="AX35" i="26"/>
  <c r="AX138" i="9" s="1"/>
  <c r="AX117" i="20" s="1"/>
  <c r="BA35" i="26"/>
  <c r="BA138" i="9" s="1"/>
  <c r="BA117" i="20" s="1"/>
  <c r="BA71" i="14"/>
  <c r="AW76" i="14"/>
  <c r="AG74" i="20"/>
  <c r="AE15" i="1"/>
  <c r="AE198" i="1" s="1"/>
  <c r="AE83" i="20"/>
  <c r="AE53" i="20"/>
  <c r="AE65" i="20"/>
  <c r="AE74" i="20"/>
  <c r="P23" i="9"/>
  <c r="P24" i="9"/>
  <c r="BA49" i="14"/>
  <c r="I56" i="14"/>
  <c r="I57" i="14" s="1"/>
  <c r="AD90" i="9"/>
  <c r="AD62" i="20"/>
  <c r="I62" i="20" s="1"/>
  <c r="I83" i="9"/>
  <c r="I101" i="9"/>
  <c r="AD80" i="20"/>
  <c r="I80" i="20" s="1"/>
  <c r="I30" i="1"/>
  <c r="I197" i="1"/>
  <c r="AD64" i="1"/>
  <c r="AD145" i="1"/>
  <c r="AE64" i="1"/>
  <c r="AE54" i="1"/>
  <c r="AD168" i="1"/>
  <c r="AD54" i="1"/>
  <c r="I110" i="9"/>
  <c r="AD89" i="20"/>
  <c r="I89" i="20" s="1"/>
  <c r="I171" i="1"/>
  <c r="I172" i="1"/>
  <c r="I82" i="20"/>
  <c r="I64" i="20"/>
  <c r="I91" i="20"/>
  <c r="AJ133" i="1"/>
  <c r="AJ30" i="1"/>
  <c r="K54" i="21" s="1"/>
  <c r="AJ103" i="1"/>
  <c r="AJ54" i="1" s="1"/>
  <c r="AM13" i="16"/>
  <c r="AM17" i="16"/>
  <c r="AZ60" i="20"/>
  <c r="L62" i="14"/>
  <c r="AP70" i="14"/>
  <c r="AI59" i="9"/>
  <c r="AI86" i="9" s="1"/>
  <c r="AI62" i="20"/>
  <c r="AO187" i="1"/>
  <c r="AP183" i="1"/>
  <c r="AO184" i="1"/>
  <c r="K184" i="1" s="1"/>
  <c r="L53" i="22" s="1"/>
  <c r="L56" i="22" s="1"/>
  <c r="AT41" i="14"/>
  <c r="AT62" i="14"/>
  <c r="M63" i="14"/>
  <c r="AG53" i="20"/>
  <c r="AI89" i="20"/>
  <c r="AP89" i="9"/>
  <c r="AP40" i="14"/>
  <c r="L41" i="14"/>
  <c r="K21" i="12" s="1"/>
  <c r="AK8" i="1"/>
  <c r="AK103" i="9"/>
  <c r="AK100" i="9" s="1"/>
  <c r="AK34" i="20"/>
  <c r="AK91" i="20" s="1"/>
  <c r="AK85" i="9"/>
  <c r="AK82" i="9" s="1"/>
  <c r="AK94" i="9"/>
  <c r="AK91" i="9" s="1"/>
  <c r="J34" i="9"/>
  <c r="AI168" i="1"/>
  <c r="AK87" i="20"/>
  <c r="J87" i="20" s="1"/>
  <c r="J108" i="9"/>
  <c r="K183" i="1"/>
  <c r="K187" i="1" s="1"/>
  <c r="AW69" i="20"/>
  <c r="AH78" i="14"/>
  <c r="J75" i="14"/>
  <c r="J76" i="14" s="1"/>
  <c r="AH76" i="14"/>
  <c r="H19" i="21"/>
  <c r="AG15" i="1"/>
  <c r="AG198" i="1" s="1"/>
  <c r="AG83" i="20"/>
  <c r="AJ101" i="9"/>
  <c r="AJ79" i="20"/>
  <c r="AH8" i="1"/>
  <c r="J41" i="9"/>
  <c r="J94" i="9" s="1"/>
  <c r="AH34" i="20"/>
  <c r="AH73" i="20" s="1"/>
  <c r="AH103" i="9"/>
  <c r="AH100" i="9" s="1"/>
  <c r="AH85" i="9"/>
  <c r="AH82" i="9" s="1"/>
  <c r="AH112" i="9"/>
  <c r="AH109" i="9" s="1"/>
  <c r="AI80" i="20"/>
  <c r="AJ70" i="20"/>
  <c r="AJ92" i="9"/>
  <c r="BA60" i="20"/>
  <c r="AH49" i="14"/>
  <c r="AH53" i="14"/>
  <c r="AL108" i="9"/>
  <c r="AL27" i="9"/>
  <c r="AL34" i="9" s="1"/>
  <c r="AX43" i="14"/>
  <c r="N129" i="9"/>
  <c r="N136" i="9" s="1"/>
  <c r="J68" i="20"/>
  <c r="AJ61" i="20"/>
  <c r="AJ83" i="9"/>
  <c r="AM30" i="16"/>
  <c r="AM108" i="9" s="1"/>
  <c r="AM35" i="16"/>
  <c r="AM107" i="9"/>
  <c r="AH94" i="9"/>
  <c r="AH91" i="9" s="1"/>
  <c r="AJ82" i="20"/>
  <c r="AJ73" i="20"/>
  <c r="AJ64" i="20"/>
  <c r="AM191" i="1"/>
  <c r="AM20" i="9"/>
  <c r="AM27" i="9" s="1"/>
  <c r="AM29" i="9"/>
  <c r="K40" i="14"/>
  <c r="AL48" i="14"/>
  <c r="AU75" i="14"/>
  <c r="AU71" i="14"/>
  <c r="J68" i="9"/>
  <c r="J32" i="9"/>
  <c r="J37" i="9" s="1"/>
  <c r="K30" i="22"/>
  <c r="J35" i="9"/>
  <c r="J36" i="9"/>
  <c r="AY60" i="20"/>
  <c r="AL75" i="14"/>
  <c r="AL71" i="14"/>
  <c r="K70" i="14"/>
  <c r="K71" i="14" s="1"/>
  <c r="AV71" i="14"/>
  <c r="AV75" i="14"/>
  <c r="J55" i="21"/>
  <c r="AG92" i="20"/>
  <c r="M84" i="21"/>
  <c r="AL90" i="1"/>
  <c r="AL86" i="20"/>
  <c r="AJ91" i="20"/>
  <c r="AJ89" i="20"/>
  <c r="AM25" i="1"/>
  <c r="AN175" i="1"/>
  <c r="AN177" i="1" s="1"/>
  <c r="AM190" i="1"/>
  <c r="AN191" i="1" s="1"/>
  <c r="AN9" i="16"/>
  <c r="AO10" i="16"/>
  <c r="AN19" i="16"/>
  <c r="AN14" i="16"/>
  <c r="AN22" i="16"/>
  <c r="AN21" i="9"/>
  <c r="AN25" i="20"/>
  <c r="K89" i="9"/>
  <c r="AL68" i="20"/>
  <c r="AL41" i="9"/>
  <c r="AL94" i="9" s="1"/>
  <c r="AL91" i="9" s="1"/>
  <c r="AQ69" i="20"/>
  <c r="AS69" i="20"/>
  <c r="AU49" i="14"/>
  <c r="AU53" i="14"/>
  <c r="H22" i="21"/>
  <c r="AK112" i="9"/>
  <c r="AK109" i="9" s="1"/>
  <c r="AK88" i="20" s="1"/>
  <c r="AV49" i="14"/>
  <c r="AV53" i="14"/>
  <c r="AI145" i="1"/>
  <c r="BA56" i="14"/>
  <c r="BA90" i="9" s="1"/>
  <c r="BA54" i="14"/>
  <c r="BA78" i="14"/>
  <c r="BA79" i="14" s="1"/>
  <c r="BA57" i="14" s="1"/>
  <c r="BA76" i="14"/>
  <c r="AX63" i="14"/>
  <c r="N87" i="14"/>
  <c r="P87" i="14" s="1"/>
  <c r="AY70" i="14" l="1"/>
  <c r="AY75" i="14" s="1"/>
  <c r="AY43" i="14"/>
  <c r="AY48" i="14" s="1"/>
  <c r="AY49" i="14" s="1"/>
  <c r="AZ78" i="14"/>
  <c r="AZ79" i="14" s="1"/>
  <c r="AZ57" i="14" s="1"/>
  <c r="N70" i="13"/>
  <c r="N69" i="13"/>
  <c r="N68" i="13"/>
  <c r="L81" i="9"/>
  <c r="AP60" i="20"/>
  <c r="L60" i="20" s="1"/>
  <c r="P33" i="13"/>
  <c r="M20" i="12"/>
  <c r="N32" i="13"/>
  <c r="P32" i="13" s="1"/>
  <c r="AX41" i="13"/>
  <c r="AX44" i="13" s="1"/>
  <c r="N80" i="9"/>
  <c r="P80" i="9" s="1"/>
  <c r="AX59" i="20"/>
  <c r="N59" i="20" s="1"/>
  <c r="P59" i="20" s="1"/>
  <c r="M44" i="13"/>
  <c r="M45" i="13" s="1"/>
  <c r="AT45" i="13"/>
  <c r="AT81" i="9"/>
  <c r="AZ49" i="14"/>
  <c r="AI113" i="9"/>
  <c r="N117" i="20"/>
  <c r="N118" i="20" s="1"/>
  <c r="AI104" i="9"/>
  <c r="N138" i="9"/>
  <c r="N139" i="9" s="1"/>
  <c r="I54" i="1"/>
  <c r="I64" i="1"/>
  <c r="AD92" i="9"/>
  <c r="AD69" i="20"/>
  <c r="I69" i="20" s="1"/>
  <c r="I90" i="9"/>
  <c r="AD169" i="1"/>
  <c r="AE169" i="1"/>
  <c r="F22" i="21" s="1"/>
  <c r="AL49" i="14"/>
  <c r="AL53" i="14"/>
  <c r="AM87" i="20"/>
  <c r="AL87" i="20"/>
  <c r="AJ71" i="20"/>
  <c r="J109" i="9"/>
  <c r="AH88" i="20"/>
  <c r="J88" i="20" s="1"/>
  <c r="AH110" i="9"/>
  <c r="J69" i="9"/>
  <c r="J103" i="9"/>
  <c r="K34" i="22"/>
  <c r="J85" i="9"/>
  <c r="AK82" i="20"/>
  <c r="AK64" i="20"/>
  <c r="AK73" i="20"/>
  <c r="M62" i="14"/>
  <c r="AT70" i="14"/>
  <c r="AI27" i="1"/>
  <c r="AI60" i="9"/>
  <c r="AI52" i="20"/>
  <c r="AI83" i="20" s="1"/>
  <c r="AI95" i="9"/>
  <c r="AJ168" i="1"/>
  <c r="AJ169" i="1" s="1"/>
  <c r="K22" i="21" s="1"/>
  <c r="AN30" i="16"/>
  <c r="AN108" i="9" s="1"/>
  <c r="AN35" i="16"/>
  <c r="AN107" i="9"/>
  <c r="AZ56" i="14"/>
  <c r="AZ90" i="9" s="1"/>
  <c r="AZ54" i="14"/>
  <c r="J34" i="20"/>
  <c r="AH82" i="20"/>
  <c r="AH64" i="20"/>
  <c r="AH91" i="20"/>
  <c r="AJ80" i="20"/>
  <c r="AK110" i="9"/>
  <c r="AK61" i="20"/>
  <c r="AK83" i="9"/>
  <c r="BA69" i="20"/>
  <c r="AL8" i="1"/>
  <c r="AL34" i="20"/>
  <c r="AL73" i="20" s="1"/>
  <c r="AL103" i="9"/>
  <c r="AL100" i="9" s="1"/>
  <c r="AL85" i="9"/>
  <c r="AL82" i="9" s="1"/>
  <c r="AN24" i="20"/>
  <c r="AN31" i="20" s="1"/>
  <c r="O84" i="21"/>
  <c r="AN90" i="1"/>
  <c r="AL112" i="9"/>
  <c r="AL109" i="9" s="1"/>
  <c r="AL110" i="9" s="1"/>
  <c r="AM34" i="9"/>
  <c r="J91" i="9"/>
  <c r="AH70" i="20"/>
  <c r="AJ59" i="9"/>
  <c r="AJ95" i="9" s="1"/>
  <c r="AJ62" i="20"/>
  <c r="J82" i="9"/>
  <c r="AH61" i="20"/>
  <c r="AH83" i="9"/>
  <c r="J8" i="1"/>
  <c r="AH30" i="1"/>
  <c r="I54" i="21" s="1"/>
  <c r="AH103" i="1"/>
  <c r="AH133" i="1"/>
  <c r="AK197" i="1"/>
  <c r="AK101" i="9"/>
  <c r="AK79" i="20"/>
  <c r="L40" i="14"/>
  <c r="AP48" i="14"/>
  <c r="AT89" i="9"/>
  <c r="AT40" i="14"/>
  <c r="M41" i="14"/>
  <c r="L21" i="12" s="1"/>
  <c r="J112" i="9"/>
  <c r="K55" i="21"/>
  <c r="AL70" i="20"/>
  <c r="AN13" i="16"/>
  <c r="AN17" i="16"/>
  <c r="N84" i="21"/>
  <c r="AM90" i="1"/>
  <c r="AP187" i="1"/>
  <c r="AQ183" i="1"/>
  <c r="AP184" i="1"/>
  <c r="N63" i="14"/>
  <c r="P63" i="14" s="1"/>
  <c r="AX41" i="14"/>
  <c r="AX62" i="14"/>
  <c r="AV56" i="14"/>
  <c r="AV90" i="9" s="1"/>
  <c r="AV54" i="14"/>
  <c r="AU54" i="14"/>
  <c r="AU56" i="14"/>
  <c r="AU90" i="9" s="1"/>
  <c r="K68" i="20"/>
  <c r="AN20" i="9"/>
  <c r="AN29" i="9"/>
  <c r="AO14" i="16"/>
  <c r="AO22" i="16"/>
  <c r="K22" i="16" s="1"/>
  <c r="J23" i="12" s="1"/>
  <c r="J24" i="12" s="1"/>
  <c r="J58" i="12" s="1"/>
  <c r="J26" i="12" s="1"/>
  <c r="AO9" i="16"/>
  <c r="K9" i="16" s="1"/>
  <c r="K13" i="16" s="1"/>
  <c r="AP10" i="16"/>
  <c r="AO19" i="16"/>
  <c r="AO21" i="9"/>
  <c r="AO25" i="20"/>
  <c r="AO24" i="20" s="1"/>
  <c r="AO31" i="20" s="1"/>
  <c r="K10" i="16"/>
  <c r="AN25" i="1"/>
  <c r="AO175" i="1"/>
  <c r="AN190" i="1"/>
  <c r="AV78" i="14"/>
  <c r="AV79" i="14" s="1"/>
  <c r="AV57" i="14" s="1"/>
  <c r="AV76" i="14"/>
  <c r="K75" i="14"/>
  <c r="K76" i="14" s="1"/>
  <c r="AL78" i="14"/>
  <c r="AL76" i="14"/>
  <c r="AU76" i="14"/>
  <c r="AU78" i="14"/>
  <c r="AU79" i="14" s="1"/>
  <c r="AU57" i="14" s="1"/>
  <c r="AM32" i="9"/>
  <c r="AM37" i="9" s="1"/>
  <c r="AM35" i="9"/>
  <c r="AM36" i="9"/>
  <c r="AM86" i="20"/>
  <c r="AM41" i="9"/>
  <c r="AM112" i="9" s="1"/>
  <c r="AM109" i="9" s="1"/>
  <c r="AM88" i="20" s="1"/>
  <c r="AL32" i="9"/>
  <c r="AL37" i="9" s="1"/>
  <c r="AL35" i="9"/>
  <c r="AL36" i="9"/>
  <c r="AH56" i="14"/>
  <c r="AH54" i="14"/>
  <c r="J100" i="9"/>
  <c r="AH79" i="20"/>
  <c r="AH101" i="9"/>
  <c r="J78" i="14"/>
  <c r="J79" i="14" s="1"/>
  <c r="AH79" i="14"/>
  <c r="AH57" i="14" s="1"/>
  <c r="AK70" i="20"/>
  <c r="AK92" i="9"/>
  <c r="AK30" i="1"/>
  <c r="L54" i="21" s="1"/>
  <c r="AK103" i="1"/>
  <c r="AK54" i="1" s="1"/>
  <c r="AK133" i="1"/>
  <c r="L89" i="9"/>
  <c r="AP68" i="20"/>
  <c r="L70" i="14"/>
  <c r="L71" i="14" s="1"/>
  <c r="AP75" i="14"/>
  <c r="AP71" i="14"/>
  <c r="AJ64" i="1"/>
  <c r="AJ145" i="1"/>
  <c r="AY53" i="14" l="1"/>
  <c r="AY71" i="14"/>
  <c r="AX81" i="9"/>
  <c r="AX45" i="13"/>
  <c r="N44" i="13"/>
  <c r="AT60" i="20"/>
  <c r="M60" i="20" s="1"/>
  <c r="M81" i="9"/>
  <c r="P138" i="9"/>
  <c r="AI65" i="20"/>
  <c r="J79" i="20"/>
  <c r="I169" i="1"/>
  <c r="J63" i="22" s="1"/>
  <c r="J85" i="22" s="1"/>
  <c r="AI92" i="20"/>
  <c r="J61" i="20"/>
  <c r="AD59" i="9"/>
  <c r="AD95" i="9" s="1"/>
  <c r="AD71" i="20"/>
  <c r="I92" i="9"/>
  <c r="J70" i="20"/>
  <c r="AL89" i="20"/>
  <c r="L75" i="14"/>
  <c r="L76" i="14" s="1"/>
  <c r="AP78" i="14"/>
  <c r="AP76" i="14"/>
  <c r="AO177" i="1"/>
  <c r="K175" i="1"/>
  <c r="AI54" i="1"/>
  <c r="AH168" i="1"/>
  <c r="AH54" i="1"/>
  <c r="AZ69" i="20"/>
  <c r="AO20" i="9"/>
  <c r="AO27" i="9" s="1"/>
  <c r="AO29" i="9"/>
  <c r="AO30" i="16"/>
  <c r="AO35" i="16"/>
  <c r="AO107" i="9"/>
  <c r="K107" i="9" s="1"/>
  <c r="AX89" i="9"/>
  <c r="AX40" i="14"/>
  <c r="N41" i="14"/>
  <c r="AR183" i="1"/>
  <c r="AQ184" i="1"/>
  <c r="AQ187" i="1"/>
  <c r="AK80" i="20"/>
  <c r="AV69" i="20"/>
  <c r="I55" i="21"/>
  <c r="AL79" i="20"/>
  <c r="AL101" i="9"/>
  <c r="AK59" i="9"/>
  <c r="AK95" i="9" s="1"/>
  <c r="AK62" i="20"/>
  <c r="AN86" i="20"/>
  <c r="AN41" i="9"/>
  <c r="AN112" i="9" s="1"/>
  <c r="AN109" i="9" s="1"/>
  <c r="M70" i="14"/>
  <c r="M71" i="14" s="1"/>
  <c r="AT75" i="14"/>
  <c r="AT71" i="14"/>
  <c r="AM110" i="9"/>
  <c r="L68" i="20"/>
  <c r="J103" i="1"/>
  <c r="J171" i="1" s="1"/>
  <c r="AK168" i="1"/>
  <c r="J101" i="9"/>
  <c r="AH80" i="20"/>
  <c r="AL30" i="1"/>
  <c r="M54" i="21" s="1"/>
  <c r="AL103" i="1"/>
  <c r="AL133" i="1"/>
  <c r="J19" i="21"/>
  <c r="AI15" i="1"/>
  <c r="AI198" i="1" s="1"/>
  <c r="J110" i="9"/>
  <c r="AH89" i="20"/>
  <c r="L55" i="21"/>
  <c r="K14" i="16"/>
  <c r="K15" i="16"/>
  <c r="AP14" i="16"/>
  <c r="AP22" i="16"/>
  <c r="AP9" i="16"/>
  <c r="AQ10" i="16"/>
  <c r="AP19" i="16"/>
  <c r="AP21" i="9"/>
  <c r="AP25" i="20"/>
  <c r="AU69" i="20"/>
  <c r="J30" i="1"/>
  <c r="J197" i="1"/>
  <c r="AY54" i="14"/>
  <c r="AY56" i="14"/>
  <c r="AY90" i="9" s="1"/>
  <c r="AJ86" i="9"/>
  <c r="K25" i="20"/>
  <c r="AL82" i="20"/>
  <c r="AL64" i="20"/>
  <c r="AL91" i="20"/>
  <c r="AJ104" i="9"/>
  <c r="J82" i="20"/>
  <c r="J64" i="20"/>
  <c r="J91" i="20"/>
  <c r="AY76" i="14"/>
  <c r="AY78" i="14"/>
  <c r="AY79" i="14" s="1"/>
  <c r="AY57" i="14" s="1"/>
  <c r="M89" i="9"/>
  <c r="AT68" i="20"/>
  <c r="AL61" i="20"/>
  <c r="AL83" i="9"/>
  <c r="AL56" i="14"/>
  <c r="AL54" i="14"/>
  <c r="AH90" i="9"/>
  <c r="J56" i="14"/>
  <c r="J57" i="14" s="1"/>
  <c r="AP49" i="14"/>
  <c r="AP53" i="14"/>
  <c r="AK71" i="20"/>
  <c r="AM8" i="1"/>
  <c r="AM103" i="9"/>
  <c r="AM100" i="9" s="1"/>
  <c r="AM34" i="20"/>
  <c r="AM91" i="20" s="1"/>
  <c r="AM94" i="9"/>
  <c r="AM91" i="9" s="1"/>
  <c r="AM85" i="9"/>
  <c r="AM82" i="9" s="1"/>
  <c r="AK64" i="1"/>
  <c r="J133" i="1"/>
  <c r="J172" i="1" s="1"/>
  <c r="AK145" i="1"/>
  <c r="J145" i="1" s="1"/>
  <c r="AL79" i="14"/>
  <c r="AL57" i="14" s="1"/>
  <c r="K78" i="14"/>
  <c r="K79" i="14" s="1"/>
  <c r="AO191" i="1"/>
  <c r="AO13" i="16"/>
  <c r="AO17" i="16"/>
  <c r="AN27" i="9"/>
  <c r="N62" i="14"/>
  <c r="P62" i="14" s="1"/>
  <c r="AX70" i="14"/>
  <c r="M40" i="14"/>
  <c r="AT48" i="14"/>
  <c r="AH145" i="1"/>
  <c r="AH64" i="1"/>
  <c r="AI64" i="1"/>
  <c r="J83" i="9"/>
  <c r="AH62" i="20"/>
  <c r="AJ27" i="1"/>
  <c r="AJ60" i="9"/>
  <c r="AJ52" i="20"/>
  <c r="AJ65" i="20" s="1"/>
  <c r="AJ113" i="9"/>
  <c r="AL88" i="20"/>
  <c r="K31" i="20"/>
  <c r="K24" i="20"/>
  <c r="AK89" i="20"/>
  <c r="AN87" i="20"/>
  <c r="AI53" i="20"/>
  <c r="AI74" i="20"/>
  <c r="J73" i="20"/>
  <c r="K21" i="9"/>
  <c r="P44" i="13" l="1"/>
  <c r="N45" i="13"/>
  <c r="AX60" i="20"/>
  <c r="N60" i="20" s="1"/>
  <c r="P60" i="20" s="1"/>
  <c r="N81" i="9"/>
  <c r="P81" i="9" s="1"/>
  <c r="AK113" i="9"/>
  <c r="K20" i="9"/>
  <c r="L23" i="22" s="1"/>
  <c r="J54" i="1"/>
  <c r="I71" i="20"/>
  <c r="AJ74" i="20"/>
  <c r="AE62" i="9"/>
  <c r="AE32" i="3" s="1"/>
  <c r="AF62" i="9"/>
  <c r="AF32" i="3" s="1"/>
  <c r="AA63" i="9"/>
  <c r="AD65" i="9"/>
  <c r="AD33" i="3" s="1"/>
  <c r="AD104" i="9"/>
  <c r="AC63" i="9"/>
  <c r="AD63" i="9"/>
  <c r="D97" i="21" s="1"/>
  <c r="AG65" i="9"/>
  <c r="AD52" i="20"/>
  <c r="AD27" i="1"/>
  <c r="AE65" i="9"/>
  <c r="AE33" i="3" s="1"/>
  <c r="AF65" i="9"/>
  <c r="AF33" i="3" s="1"/>
  <c r="AD62" i="9"/>
  <c r="AD32" i="3" s="1"/>
  <c r="D96" i="21" s="1"/>
  <c r="AD113" i="9"/>
  <c r="AD60" i="9"/>
  <c r="AG62" i="9"/>
  <c r="AG32" i="3" s="1"/>
  <c r="AB63" i="9"/>
  <c r="AD86" i="9"/>
  <c r="I59" i="9"/>
  <c r="AN88" i="20"/>
  <c r="AN110" i="9"/>
  <c r="AN89" i="20" s="1"/>
  <c r="K19" i="21"/>
  <c r="AJ15" i="1"/>
  <c r="AJ198" i="1" s="1"/>
  <c r="AN32" i="9"/>
  <c r="AN37" i="9" s="1"/>
  <c r="AN35" i="9"/>
  <c r="AN36" i="9"/>
  <c r="K27" i="9"/>
  <c r="P84" i="21"/>
  <c r="AO90" i="1"/>
  <c r="K191" i="1"/>
  <c r="L54" i="22" s="1"/>
  <c r="AM70" i="20"/>
  <c r="AM92" i="9"/>
  <c r="M68" i="20"/>
  <c r="AP20" i="9"/>
  <c r="AP29" i="9"/>
  <c r="AP30" i="16"/>
  <c r="AP35" i="16"/>
  <c r="AP107" i="9"/>
  <c r="AL168" i="1"/>
  <c r="AL169" i="1" s="1"/>
  <c r="J80" i="20"/>
  <c r="AL54" i="1"/>
  <c r="AM89" i="20"/>
  <c r="AJ83" i="20"/>
  <c r="M21" i="12"/>
  <c r="P41" i="14"/>
  <c r="AH169" i="1"/>
  <c r="AI169" i="1"/>
  <c r="J22" i="21" s="1"/>
  <c r="J64" i="1"/>
  <c r="AT49" i="14"/>
  <c r="AT53" i="14"/>
  <c r="AX75" i="14"/>
  <c r="N70" i="14"/>
  <c r="AX71" i="14"/>
  <c r="AM82" i="20"/>
  <c r="AM73" i="20"/>
  <c r="AM64" i="20"/>
  <c r="AP56" i="14"/>
  <c r="AP54" i="14"/>
  <c r="J90" i="9"/>
  <c r="AH92" i="9"/>
  <c r="AH69" i="20"/>
  <c r="J69" i="20" s="1"/>
  <c r="AL62" i="20"/>
  <c r="M55" i="21"/>
  <c r="AN8" i="1"/>
  <c r="AN103" i="9"/>
  <c r="AN100" i="9" s="1"/>
  <c r="AN34" i="20"/>
  <c r="AN85" i="9"/>
  <c r="AN82" i="9" s="1"/>
  <c r="AN94" i="9"/>
  <c r="AN91" i="9" s="1"/>
  <c r="AL80" i="20"/>
  <c r="N40" i="14"/>
  <c r="P40" i="14" s="1"/>
  <c r="AX48" i="14"/>
  <c r="AO108" i="9"/>
  <c r="K30" i="16"/>
  <c r="K31" i="16" s="1"/>
  <c r="AP79" i="14"/>
  <c r="AP57" i="14" s="1"/>
  <c r="L78" i="14"/>
  <c r="L79" i="14" s="1"/>
  <c r="J62" i="20"/>
  <c r="L24" i="22"/>
  <c r="K29" i="9"/>
  <c r="AJ53" i="20"/>
  <c r="AJ92" i="20"/>
  <c r="AM79" i="20"/>
  <c r="AM101" i="9"/>
  <c r="AN34" i="9"/>
  <c r="AQ19" i="16"/>
  <c r="AQ14" i="16"/>
  <c r="AQ22" i="16"/>
  <c r="AQ9" i="16"/>
  <c r="AR10" i="16"/>
  <c r="AQ21" i="9"/>
  <c r="AQ25" i="20"/>
  <c r="AQ24" i="20" s="1"/>
  <c r="AQ31" i="20" s="1"/>
  <c r="J89" i="20"/>
  <c r="M75" i="14"/>
  <c r="M76" i="14" s="1"/>
  <c r="AT78" i="14"/>
  <c r="AT76" i="14"/>
  <c r="AK27" i="1"/>
  <c r="AK60" i="9"/>
  <c r="AK52" i="20"/>
  <c r="N89" i="9"/>
  <c r="AX68" i="20"/>
  <c r="AO34" i="9"/>
  <c r="AM61" i="20"/>
  <c r="AM83" i="9"/>
  <c r="AM133" i="1"/>
  <c r="AM30" i="1"/>
  <c r="N54" i="21" s="1"/>
  <c r="AM103" i="1"/>
  <c r="AL90" i="9"/>
  <c r="K56" i="14"/>
  <c r="K57" i="14" s="1"/>
  <c r="AY69" i="20"/>
  <c r="AP24" i="20"/>
  <c r="AP31" i="20" s="1"/>
  <c r="AP13" i="16"/>
  <c r="AP17" i="16"/>
  <c r="AL145" i="1"/>
  <c r="AL64" i="1"/>
  <c r="AK169" i="1"/>
  <c r="L22" i="21" s="1"/>
  <c r="J168" i="1"/>
  <c r="AK86" i="9"/>
  <c r="AK104" i="9"/>
  <c r="AR187" i="1"/>
  <c r="AS183" i="1"/>
  <c r="AR184" i="1"/>
  <c r="AO86" i="20"/>
  <c r="AO41" i="9"/>
  <c r="AO112" i="9" s="1"/>
  <c r="AO109" i="9" s="1"/>
  <c r="AO32" i="9"/>
  <c r="AO37" i="9" s="1"/>
  <c r="AO35" i="9"/>
  <c r="AO36" i="9"/>
  <c r="AO25" i="1"/>
  <c r="K25" i="1" s="1"/>
  <c r="K177" i="1"/>
  <c r="AP175" i="1"/>
  <c r="AP177" i="1" s="1"/>
  <c r="AO190" i="1"/>
  <c r="K34" i="9" l="1"/>
  <c r="AE55" i="20"/>
  <c r="AD56" i="20"/>
  <c r="AB56" i="20"/>
  <c r="AC56" i="20"/>
  <c r="AG55" i="20"/>
  <c r="AD83" i="20"/>
  <c r="AD53" i="20"/>
  <c r="AA56" i="20"/>
  <c r="AD92" i="20"/>
  <c r="I52" i="20"/>
  <c r="AF55" i="20"/>
  <c r="AD55" i="20"/>
  <c r="AD65" i="20"/>
  <c r="F96" i="21"/>
  <c r="F86" i="21"/>
  <c r="F87" i="21" s="1"/>
  <c r="H86" i="21"/>
  <c r="H87" i="21" s="1"/>
  <c r="I32" i="3"/>
  <c r="H96" i="21"/>
  <c r="AG33" i="3"/>
  <c r="I33" i="3" s="1"/>
  <c r="I65" i="9"/>
  <c r="I95" i="9"/>
  <c r="I60" i="9"/>
  <c r="I113" i="9"/>
  <c r="J60" i="22"/>
  <c r="J82" i="22" s="1"/>
  <c r="I86" i="9"/>
  <c r="J36" i="22"/>
  <c r="I62" i="9"/>
  <c r="I104" i="9"/>
  <c r="AD15" i="1"/>
  <c r="I27" i="1"/>
  <c r="G96" i="21"/>
  <c r="G86" i="21"/>
  <c r="G87" i="21" s="1"/>
  <c r="AD74" i="20"/>
  <c r="AO88" i="20"/>
  <c r="K88" i="20" s="1"/>
  <c r="K109" i="9"/>
  <c r="AM168" i="1"/>
  <c r="AM169" i="1" s="1"/>
  <c r="N22" i="21" s="1"/>
  <c r="N68" i="20"/>
  <c r="AK53" i="20"/>
  <c r="AT79" i="14"/>
  <c r="AT57" i="14" s="1"/>
  <c r="M78" i="14"/>
  <c r="M79" i="14" s="1"/>
  <c r="AQ13" i="16"/>
  <c r="AQ17" i="16"/>
  <c r="AX49" i="14"/>
  <c r="AX53" i="14"/>
  <c r="AN82" i="20"/>
  <c r="AN64" i="20"/>
  <c r="AN73" i="20"/>
  <c r="AT56" i="14"/>
  <c r="AT54" i="14"/>
  <c r="AK92" i="20"/>
  <c r="AP27" i="9"/>
  <c r="AP34" i="9" s="1"/>
  <c r="AK74" i="20"/>
  <c r="AP25" i="1"/>
  <c r="AQ175" i="1"/>
  <c r="AQ177" i="1" s="1"/>
  <c r="AP190" i="1"/>
  <c r="AK65" i="20"/>
  <c r="AN101" i="9"/>
  <c r="AN79" i="20"/>
  <c r="AP90" i="9"/>
  <c r="L56" i="14"/>
  <c r="L57" i="14" s="1"/>
  <c r="M22" i="21"/>
  <c r="AP108" i="9"/>
  <c r="K90" i="1"/>
  <c r="K86" i="20"/>
  <c r="AM64" i="1"/>
  <c r="AM145" i="1"/>
  <c r="P89" i="9"/>
  <c r="AN91" i="20"/>
  <c r="AQ20" i="9"/>
  <c r="AQ27" i="9" s="1"/>
  <c r="AQ29" i="9"/>
  <c r="AM80" i="20"/>
  <c r="AN70" i="20"/>
  <c r="AN92" i="9"/>
  <c r="AN133" i="1"/>
  <c r="AN30" i="1"/>
  <c r="O54" i="21" s="1"/>
  <c r="AN103" i="1"/>
  <c r="J92" i="9"/>
  <c r="AH71" i="20"/>
  <c r="AH59" i="9"/>
  <c r="AH95" i="9" s="1"/>
  <c r="N71" i="14"/>
  <c r="P70" i="14"/>
  <c r="AM54" i="1"/>
  <c r="AM71" i="20"/>
  <c r="AP191" i="1"/>
  <c r="K190" i="1"/>
  <c r="AO8" i="1"/>
  <c r="K8" i="1" s="1"/>
  <c r="AO103" i="9"/>
  <c r="AO100" i="9" s="1"/>
  <c r="AO34" i="20"/>
  <c r="AO94" i="9"/>
  <c r="AO91" i="9" s="1"/>
  <c r="AO85" i="9"/>
  <c r="AO82" i="9" s="1"/>
  <c r="K41" i="9"/>
  <c r="AS187" i="1"/>
  <c r="AT183" i="1"/>
  <c r="AS184" i="1"/>
  <c r="L184" i="1" s="1"/>
  <c r="M53" i="22" s="1"/>
  <c r="M56" i="22" s="1"/>
  <c r="L183" i="1"/>
  <c r="L187" i="1" s="1"/>
  <c r="N55" i="21"/>
  <c r="L19" i="21"/>
  <c r="AK15" i="1"/>
  <c r="AK198" i="1" s="1"/>
  <c r="AQ30" i="16"/>
  <c r="AQ108" i="9" s="1"/>
  <c r="AQ35" i="16"/>
  <c r="AQ107" i="9"/>
  <c r="AL92" i="9"/>
  <c r="K90" i="9"/>
  <c r="AL69" i="20"/>
  <c r="K69" i="20" s="1"/>
  <c r="AM59" i="9"/>
  <c r="AM104" i="9" s="1"/>
  <c r="AM62" i="20"/>
  <c r="AK83" i="20"/>
  <c r="AR9" i="16"/>
  <c r="AS10" i="16"/>
  <c r="AR19" i="16"/>
  <c r="AR14" i="16"/>
  <c r="AR22" i="16"/>
  <c r="AR21" i="9"/>
  <c r="AR25" i="20"/>
  <c r="AO110" i="9"/>
  <c r="AO87" i="20"/>
  <c r="K87" i="20" s="1"/>
  <c r="K108" i="9"/>
  <c r="AN61" i="20"/>
  <c r="AN83" i="9"/>
  <c r="AX78" i="14"/>
  <c r="N75" i="14"/>
  <c r="AX76" i="14"/>
  <c r="I22" i="21"/>
  <c r="J169" i="1"/>
  <c r="K63" i="22" s="1"/>
  <c r="K85" i="22" s="1"/>
  <c r="AP86" i="20"/>
  <c r="AP41" i="9"/>
  <c r="K32" i="9"/>
  <c r="K37" i="9" s="1"/>
  <c r="K68" i="9"/>
  <c r="L30" i="22"/>
  <c r="K35" i="9"/>
  <c r="K36" i="9"/>
  <c r="H63" i="9" l="1"/>
  <c r="I77" i="9"/>
  <c r="I76" i="9" s="1"/>
  <c r="J37" i="22"/>
  <c r="J35" i="22"/>
  <c r="J73" i="9"/>
  <c r="I70" i="9"/>
  <c r="J72" i="9"/>
  <c r="I74" i="20"/>
  <c r="I53" i="20"/>
  <c r="I92" i="20"/>
  <c r="I65" i="20"/>
  <c r="I55" i="20"/>
  <c r="H56" i="20" s="1"/>
  <c r="I83" i="20"/>
  <c r="AD198" i="1"/>
  <c r="I15" i="1"/>
  <c r="I198" i="1" s="1"/>
  <c r="AM86" i="9"/>
  <c r="P75" i="14"/>
  <c r="N76" i="14"/>
  <c r="AR24" i="20"/>
  <c r="AR31" i="20" s="1"/>
  <c r="AQ87" i="20"/>
  <c r="AO70" i="20"/>
  <c r="K70" i="20" s="1"/>
  <c r="AO92" i="9"/>
  <c r="AN71" i="20"/>
  <c r="AQ32" i="9"/>
  <c r="AQ37" i="9" s="1"/>
  <c r="AQ35" i="9"/>
  <c r="AQ36" i="9"/>
  <c r="AQ191" i="1"/>
  <c r="AP8" i="1"/>
  <c r="AP34" i="20"/>
  <c r="AP103" i="9"/>
  <c r="AP100" i="9" s="1"/>
  <c r="AP85" i="9"/>
  <c r="AP82" i="9" s="1"/>
  <c r="AP94" i="9"/>
  <c r="AP91" i="9" s="1"/>
  <c r="AP92" i="9" s="1"/>
  <c r="AR20" i="9"/>
  <c r="AR27" i="9" s="1"/>
  <c r="AR29" i="9"/>
  <c r="AS14" i="16"/>
  <c r="AS22" i="16"/>
  <c r="L22" i="16" s="1"/>
  <c r="K23" i="12" s="1"/>
  <c r="K24" i="12" s="1"/>
  <c r="K58" i="12" s="1"/>
  <c r="K26" i="12" s="1"/>
  <c r="AS9" i="16"/>
  <c r="L9" i="16" s="1"/>
  <c r="L13" i="16" s="1"/>
  <c r="AT10" i="16"/>
  <c r="AS19" i="16"/>
  <c r="AS21" i="9"/>
  <c r="AS25" i="20"/>
  <c r="AS24" i="20" s="1"/>
  <c r="AS31" i="20" s="1"/>
  <c r="L10" i="16"/>
  <c r="AO82" i="20"/>
  <c r="AO73" i="20"/>
  <c r="AO64" i="20"/>
  <c r="Q84" i="21"/>
  <c r="AP90" i="1"/>
  <c r="AH27" i="1"/>
  <c r="J59" i="9"/>
  <c r="J95" i="9" s="1"/>
  <c r="AH60" i="9"/>
  <c r="AH63" i="9"/>
  <c r="I97" i="21" s="1"/>
  <c r="AK62" i="9"/>
  <c r="AK32" i="3" s="1"/>
  <c r="AK65" i="9"/>
  <c r="AH52" i="20"/>
  <c r="AH74" i="20" s="1"/>
  <c r="AH65" i="9"/>
  <c r="AH33" i="3" s="1"/>
  <c r="AG63" i="9"/>
  <c r="H97" i="21" s="1"/>
  <c r="AJ62" i="9"/>
  <c r="AJ32" i="3" s="1"/>
  <c r="AH62" i="9"/>
  <c r="AH32" i="3" s="1"/>
  <c r="AJ65" i="9"/>
  <c r="AJ33" i="3" s="1"/>
  <c r="AI65" i="9"/>
  <c r="AI33" i="3" s="1"/>
  <c r="AE63" i="9"/>
  <c r="F97" i="21" s="1"/>
  <c r="AI62" i="9"/>
  <c r="AI32" i="3" s="1"/>
  <c r="AF63" i="9"/>
  <c r="G97" i="21" s="1"/>
  <c r="AH104" i="9"/>
  <c r="AH86" i="9"/>
  <c r="AH113" i="9"/>
  <c r="AN168" i="1"/>
  <c r="AN169" i="1" s="1"/>
  <c r="AO91" i="20"/>
  <c r="AP87" i="20"/>
  <c r="L90" i="9"/>
  <c r="AP69" i="20"/>
  <c r="L69" i="20" s="1"/>
  <c r="AQ25" i="1"/>
  <c r="AR175" i="1"/>
  <c r="AR177" i="1" s="1"/>
  <c r="AQ190" i="1"/>
  <c r="AR191" i="1" s="1"/>
  <c r="AT90" i="9"/>
  <c r="M56" i="14"/>
  <c r="M57" i="14" s="1"/>
  <c r="AX56" i="14"/>
  <c r="AX54" i="14"/>
  <c r="P68" i="20"/>
  <c r="K91" i="9"/>
  <c r="N78" i="14"/>
  <c r="AX79" i="14"/>
  <c r="AX57" i="14" s="1"/>
  <c r="AN59" i="9"/>
  <c r="AN86" i="9" s="1"/>
  <c r="AN62" i="20"/>
  <c r="AO89" i="20"/>
  <c r="K110" i="9"/>
  <c r="AR30" i="16"/>
  <c r="AR108" i="9" s="1"/>
  <c r="AR35" i="16"/>
  <c r="AR107" i="9"/>
  <c r="AR13" i="16"/>
  <c r="AR17" i="16"/>
  <c r="K92" i="9"/>
  <c r="AL71" i="20"/>
  <c r="AL59" i="9"/>
  <c r="AQ86" i="20"/>
  <c r="AQ41" i="9"/>
  <c r="K69" i="9"/>
  <c r="K103" i="9"/>
  <c r="L34" i="22"/>
  <c r="K85" i="9"/>
  <c r="K94" i="9"/>
  <c r="K112" i="9"/>
  <c r="AO101" i="9"/>
  <c r="K101" i="9" s="1"/>
  <c r="AO79" i="20"/>
  <c r="K79" i="20" s="1"/>
  <c r="K100" i="9"/>
  <c r="J71" i="20"/>
  <c r="O55" i="21"/>
  <c r="K34" i="20"/>
  <c r="AN80" i="20"/>
  <c r="AP32" i="9"/>
  <c r="AP37" i="9" s="1"/>
  <c r="AP35" i="9"/>
  <c r="AP36" i="9"/>
  <c r="K30" i="1"/>
  <c r="K76" i="1"/>
  <c r="AP112" i="9"/>
  <c r="AP109" i="9" s="1"/>
  <c r="AP110" i="9" s="1"/>
  <c r="AM27" i="1"/>
  <c r="AM60" i="9"/>
  <c r="AM52" i="20"/>
  <c r="AM113" i="9"/>
  <c r="AT187" i="1"/>
  <c r="AU183" i="1"/>
  <c r="AT184" i="1"/>
  <c r="AO61" i="20"/>
  <c r="AO83" i="9"/>
  <c r="K82" i="9"/>
  <c r="AO30" i="1"/>
  <c r="P54" i="21" s="1"/>
  <c r="AO103" i="1"/>
  <c r="AO54" i="1" s="1"/>
  <c r="AO133" i="1"/>
  <c r="AM95" i="9"/>
  <c r="AN64" i="1"/>
  <c r="AN145" i="1"/>
  <c r="AQ34" i="9"/>
  <c r="AN54" i="1"/>
  <c r="AN104" i="9" l="1"/>
  <c r="AP89" i="20"/>
  <c r="P55" i="21"/>
  <c r="N19" i="21"/>
  <c r="K54" i="1"/>
  <c r="AO64" i="1"/>
  <c r="K64" i="1" s="1"/>
  <c r="K133" i="1"/>
  <c r="K172" i="1" s="1"/>
  <c r="AO145" i="1"/>
  <c r="K145" i="1" s="1"/>
  <c r="AO59" i="9"/>
  <c r="K59" i="9" s="1"/>
  <c r="AO62" i="20"/>
  <c r="AO76" i="1"/>
  <c r="AL76" i="1"/>
  <c r="AM76" i="1"/>
  <c r="AN76" i="1"/>
  <c r="L64" i="22"/>
  <c r="L86" i="22" s="1"/>
  <c r="K82" i="20"/>
  <c r="K64" i="20"/>
  <c r="K73" i="20"/>
  <c r="AL27" i="1"/>
  <c r="AL60" i="9"/>
  <c r="AL63" i="9"/>
  <c r="M97" i="21" s="1"/>
  <c r="AL52" i="20"/>
  <c r="AL74" i="20" s="1"/>
  <c r="AM62" i="9"/>
  <c r="AM32" i="3" s="1"/>
  <c r="AL113" i="9"/>
  <c r="AM65" i="9"/>
  <c r="AM33" i="3" s="1"/>
  <c r="AJ63" i="9"/>
  <c r="K97" i="21" s="1"/>
  <c r="AL86" i="9"/>
  <c r="AL104" i="9"/>
  <c r="AK63" i="9"/>
  <c r="L97" i="21" s="1"/>
  <c r="AL65" i="9"/>
  <c r="AL33" i="3" s="1"/>
  <c r="AI63" i="9"/>
  <c r="J97" i="21" s="1"/>
  <c r="AN62" i="9"/>
  <c r="AN32" i="3" s="1"/>
  <c r="AL62" i="9"/>
  <c r="AL32" i="3" s="1"/>
  <c r="AN65" i="9"/>
  <c r="AN33" i="3" s="1"/>
  <c r="AR87" i="20"/>
  <c r="P78" i="14"/>
  <c r="N79" i="14"/>
  <c r="S84" i="21"/>
  <c r="AR90" i="1"/>
  <c r="O22" i="21"/>
  <c r="L86" i="21"/>
  <c r="L87" i="21" s="1"/>
  <c r="L96" i="21"/>
  <c r="J32" i="3"/>
  <c r="I19" i="21"/>
  <c r="AH15" i="1"/>
  <c r="J27" i="1"/>
  <c r="L15" i="16"/>
  <c r="L14" i="16"/>
  <c r="AT14" i="16"/>
  <c r="AT22" i="16"/>
  <c r="AT9" i="16"/>
  <c r="AU10" i="16"/>
  <c r="AT19" i="16"/>
  <c r="AT21" i="9"/>
  <c r="AT25" i="20"/>
  <c r="AR34" i="9"/>
  <c r="AP79" i="20"/>
  <c r="AP101" i="9"/>
  <c r="R84" i="21"/>
  <c r="AQ90" i="1"/>
  <c r="AO71" i="20"/>
  <c r="K71" i="20" s="1"/>
  <c r="L25" i="20"/>
  <c r="AM53" i="20"/>
  <c r="AM92" i="20"/>
  <c r="AQ8" i="1"/>
  <c r="AQ103" i="9"/>
  <c r="AQ100" i="9" s="1"/>
  <c r="AQ34" i="20"/>
  <c r="AQ91" i="20" s="1"/>
  <c r="AQ94" i="9"/>
  <c r="AQ91" i="9" s="1"/>
  <c r="AQ85" i="9"/>
  <c r="AQ82" i="9" s="1"/>
  <c r="AX90" i="9"/>
  <c r="N56" i="14"/>
  <c r="AR25" i="1"/>
  <c r="AS175" i="1"/>
  <c r="AR190" i="1"/>
  <c r="AS191" i="1" s="1"/>
  <c r="L191" i="1" s="1"/>
  <c r="M54" i="22" s="1"/>
  <c r="AS13" i="16"/>
  <c r="AS17" i="16"/>
  <c r="AR32" i="9"/>
  <c r="AR37" i="9" s="1"/>
  <c r="AR35" i="9"/>
  <c r="AR36" i="9"/>
  <c r="AP82" i="20"/>
  <c r="AP64" i="20"/>
  <c r="AP73" i="20"/>
  <c r="L31" i="20"/>
  <c r="L24" i="20"/>
  <c r="K103" i="1"/>
  <c r="K171" i="1" s="1"/>
  <c r="AO168" i="1"/>
  <c r="AL95" i="9"/>
  <c r="AR86" i="20"/>
  <c r="AR41" i="9"/>
  <c r="K89" i="20"/>
  <c r="AN27" i="1"/>
  <c r="AN60" i="9"/>
  <c r="AN52" i="20"/>
  <c r="AN74" i="20" s="1"/>
  <c r="AN113" i="9"/>
  <c r="AP71" i="20"/>
  <c r="J96" i="21"/>
  <c r="J86" i="21"/>
  <c r="J87" i="21" s="1"/>
  <c r="I96" i="21"/>
  <c r="I86" i="21"/>
  <c r="I87" i="21" s="1"/>
  <c r="J52" i="20"/>
  <c r="AH53" i="20"/>
  <c r="AH56" i="20"/>
  <c r="AK55" i="20"/>
  <c r="AH55" i="20"/>
  <c r="AE56" i="20"/>
  <c r="AF56" i="20"/>
  <c r="AG56" i="20"/>
  <c r="AI55" i="20"/>
  <c r="AJ55" i="20"/>
  <c r="AH83" i="20"/>
  <c r="AH65" i="20"/>
  <c r="AH92" i="20"/>
  <c r="AS20" i="9"/>
  <c r="AS29" i="9"/>
  <c r="AS30" i="16"/>
  <c r="AS108" i="9" s="1"/>
  <c r="AS35" i="16"/>
  <c r="AS107" i="9"/>
  <c r="L107" i="9" s="1"/>
  <c r="AP70" i="20"/>
  <c r="K91" i="20"/>
  <c r="AP91" i="20"/>
  <c r="AO80" i="20"/>
  <c r="K83" i="9"/>
  <c r="AV183" i="1"/>
  <c r="AU184" i="1"/>
  <c r="AU187" i="1"/>
  <c r="AP88" i="20"/>
  <c r="AM74" i="20"/>
  <c r="AQ112" i="9"/>
  <c r="AQ109" i="9" s="1"/>
  <c r="M90" i="9"/>
  <c r="AT69" i="20"/>
  <c r="M69" i="20" s="1"/>
  <c r="AM83" i="20"/>
  <c r="K86" i="21"/>
  <c r="K87" i="21" s="1"/>
  <c r="K96" i="21"/>
  <c r="AK33" i="3"/>
  <c r="J33" i="3" s="1"/>
  <c r="J65" i="9"/>
  <c r="J60" i="9"/>
  <c r="J62" i="9"/>
  <c r="K60" i="22"/>
  <c r="K36" i="22"/>
  <c r="J86" i="9"/>
  <c r="J104" i="9"/>
  <c r="J113" i="9"/>
  <c r="AM65" i="20"/>
  <c r="AP61" i="20"/>
  <c r="AP83" i="9"/>
  <c r="AP30" i="1"/>
  <c r="Q54" i="21" s="1"/>
  <c r="AP103" i="1"/>
  <c r="AP54" i="1" s="1"/>
  <c r="AP133" i="1"/>
  <c r="AN95" i="9"/>
  <c r="K104" i="9" l="1"/>
  <c r="K95" i="9"/>
  <c r="K86" i="9"/>
  <c r="AO95" i="9"/>
  <c r="AO65" i="9"/>
  <c r="AO33" i="3" s="1"/>
  <c r="K33" i="3" s="1"/>
  <c r="AO62" i="9"/>
  <c r="AO32" i="3" s="1"/>
  <c r="P96" i="21" s="1"/>
  <c r="AO104" i="9"/>
  <c r="L30" i="16"/>
  <c r="L31" i="16" s="1"/>
  <c r="K113" i="9"/>
  <c r="K82" i="22"/>
  <c r="AS87" i="20"/>
  <c r="L87" i="20" s="1"/>
  <c r="AN53" i="20"/>
  <c r="AN92" i="20"/>
  <c r="T84" i="21"/>
  <c r="AS90" i="1"/>
  <c r="N90" i="9"/>
  <c r="P90" i="9" s="1"/>
  <c r="AX69" i="20"/>
  <c r="N69" i="20" s="1"/>
  <c r="P69" i="20" s="1"/>
  <c r="AQ61" i="20"/>
  <c r="AQ83" i="9"/>
  <c r="AQ133" i="1"/>
  <c r="AQ30" i="1"/>
  <c r="R54" i="21" s="1"/>
  <c r="AQ103" i="1"/>
  <c r="AQ54" i="1" s="1"/>
  <c r="AP80" i="20"/>
  <c r="AT24" i="20"/>
  <c r="AT31" i="20" s="1"/>
  <c r="L108" i="9"/>
  <c r="AL53" i="20"/>
  <c r="AL92" i="20"/>
  <c r="AI56" i="20"/>
  <c r="AL83" i="20"/>
  <c r="AM55" i="20"/>
  <c r="AK56" i="20"/>
  <c r="AL65" i="20"/>
  <c r="AN55" i="20"/>
  <c r="AJ56" i="20"/>
  <c r="AL55" i="20"/>
  <c r="N23" i="21"/>
  <c r="AM83" i="1"/>
  <c r="AM196" i="1"/>
  <c r="AO27" i="1"/>
  <c r="K27" i="1" s="1"/>
  <c r="AO60" i="9"/>
  <c r="AO52" i="20"/>
  <c r="AO74" i="20" s="1"/>
  <c r="AO113" i="9"/>
  <c r="I63" i="9"/>
  <c r="J77" i="9"/>
  <c r="J76" i="9" s="1"/>
  <c r="J53" i="20"/>
  <c r="J55" i="20"/>
  <c r="I56" i="20" s="1"/>
  <c r="J92" i="20"/>
  <c r="J83" i="20"/>
  <c r="J65" i="20"/>
  <c r="O19" i="21"/>
  <c r="AR8" i="1"/>
  <c r="AR103" i="9"/>
  <c r="AR100" i="9" s="1"/>
  <c r="AR34" i="20"/>
  <c r="AR91" i="20" s="1"/>
  <c r="AR85" i="9"/>
  <c r="AR82" i="9" s="1"/>
  <c r="AR94" i="9"/>
  <c r="AR91" i="9" s="1"/>
  <c r="L175" i="1"/>
  <c r="AS177" i="1"/>
  <c r="AQ70" i="20"/>
  <c r="AQ92" i="9"/>
  <c r="J74" i="20"/>
  <c r="AT20" i="9"/>
  <c r="AT29" i="9"/>
  <c r="AT13" i="16"/>
  <c r="AT17" i="16"/>
  <c r="AN65" i="20"/>
  <c r="M96" i="21"/>
  <c r="M86" i="21"/>
  <c r="M87" i="21" s="1"/>
  <c r="M23" i="21"/>
  <c r="AL83" i="1"/>
  <c r="AL47" i="1"/>
  <c r="AL15" i="1" s="1"/>
  <c r="AL196" i="1"/>
  <c r="AO86" i="9"/>
  <c r="K35" i="22"/>
  <c r="K37" i="22"/>
  <c r="AP145" i="1"/>
  <c r="AP64" i="1"/>
  <c r="AP59" i="9"/>
  <c r="AP62" i="20"/>
  <c r="AP168" i="1"/>
  <c r="AP169" i="1" s="1"/>
  <c r="Q55" i="21"/>
  <c r="J70" i="9"/>
  <c r="K72" i="9"/>
  <c r="AS86" i="20"/>
  <c r="L86" i="20" s="1"/>
  <c r="AS41" i="9"/>
  <c r="AS112" i="9" s="1"/>
  <c r="AS109" i="9" s="1"/>
  <c r="AS88" i="20" s="1"/>
  <c r="AS27" i="9"/>
  <c r="L20" i="9"/>
  <c r="M23" i="22" s="1"/>
  <c r="AO169" i="1"/>
  <c r="K168" i="1"/>
  <c r="AQ82" i="20"/>
  <c r="AQ73" i="20"/>
  <c r="AQ64" i="20"/>
  <c r="AN83" i="20"/>
  <c r="AT30" i="16"/>
  <c r="AT35" i="16"/>
  <c r="AT107" i="9"/>
  <c r="O86" i="21"/>
  <c r="O87" i="21" s="1"/>
  <c r="O96" i="21"/>
  <c r="M19" i="21"/>
  <c r="P23" i="21"/>
  <c r="AO83" i="1"/>
  <c r="AO196" i="1"/>
  <c r="AQ88" i="20"/>
  <c r="AQ110" i="9"/>
  <c r="AV187" i="1"/>
  <c r="AW183" i="1"/>
  <c r="AV184" i="1"/>
  <c r="K80" i="20"/>
  <c r="AR112" i="9"/>
  <c r="AR109" i="9" s="1"/>
  <c r="P56" i="14"/>
  <c r="N57" i="14"/>
  <c r="AQ79" i="20"/>
  <c r="AQ101" i="9"/>
  <c r="AU19" i="16"/>
  <c r="AU14" i="16"/>
  <c r="AU22" i="16"/>
  <c r="AU9" i="16"/>
  <c r="AV10" i="16"/>
  <c r="AU21" i="9"/>
  <c r="AU25" i="20"/>
  <c r="AU24" i="20" s="1"/>
  <c r="AU31" i="20" s="1"/>
  <c r="J15" i="1"/>
  <c r="J198" i="1" s="1"/>
  <c r="AH198" i="1"/>
  <c r="N86" i="21"/>
  <c r="N87" i="21" s="1"/>
  <c r="N96" i="21"/>
  <c r="K60" i="9"/>
  <c r="K70" i="9" s="1"/>
  <c r="K62" i="9"/>
  <c r="L36" i="22"/>
  <c r="L60" i="22"/>
  <c r="K73" i="9"/>
  <c r="O23" i="21"/>
  <c r="AN83" i="1"/>
  <c r="AN196" i="1"/>
  <c r="K62" i="20"/>
  <c r="K65" i="9" l="1"/>
  <c r="K32" i="3"/>
  <c r="P86" i="21"/>
  <c r="P87" i="21" s="1"/>
  <c r="AO65" i="20"/>
  <c r="AL125" i="1"/>
  <c r="AL128" i="1" s="1"/>
  <c r="L35" i="22"/>
  <c r="L37" i="22"/>
  <c r="AW187" i="1"/>
  <c r="AX183" i="1"/>
  <c r="AW184" i="1"/>
  <c r="M184" i="1" s="1"/>
  <c r="N53" i="22" s="1"/>
  <c r="N56" i="22" s="1"/>
  <c r="AU13" i="16"/>
  <c r="AU17" i="16"/>
  <c r="AQ80" i="20"/>
  <c r="M183" i="1"/>
  <c r="M187" i="1" s="1"/>
  <c r="AT108" i="9"/>
  <c r="P22" i="21"/>
  <c r="K169" i="1"/>
  <c r="L63" i="22" s="1"/>
  <c r="L85" i="22" s="1"/>
  <c r="AS32" i="9"/>
  <c r="AS37" i="9" s="1"/>
  <c r="AS35" i="9"/>
  <c r="AS36" i="9"/>
  <c r="L27" i="9"/>
  <c r="AP27" i="1"/>
  <c r="AP60" i="9"/>
  <c r="AP52" i="20"/>
  <c r="AP83" i="20" s="1"/>
  <c r="AP113" i="9"/>
  <c r="AP95" i="9"/>
  <c r="K83" i="1"/>
  <c r="L41" i="22" s="1"/>
  <c r="AR61" i="20"/>
  <c r="AR83" i="9"/>
  <c r="AO83" i="20"/>
  <c r="AP62" i="9"/>
  <c r="AP32" i="3" s="1"/>
  <c r="AM197" i="1"/>
  <c r="R55" i="21"/>
  <c r="AS110" i="9"/>
  <c r="AN197" i="1"/>
  <c r="J63" i="9"/>
  <c r="K77" i="9"/>
  <c r="K76" i="9" s="1"/>
  <c r="AU30" i="16"/>
  <c r="AU108" i="9" s="1"/>
  <c r="AU35" i="16"/>
  <c r="AU107" i="9"/>
  <c r="AR88" i="20"/>
  <c r="L88" i="20" s="1"/>
  <c r="AR110" i="9"/>
  <c r="L110" i="9" s="1"/>
  <c r="L109" i="9"/>
  <c r="AO197" i="1"/>
  <c r="AS8" i="1"/>
  <c r="L8" i="1" s="1"/>
  <c r="AS103" i="9"/>
  <c r="AS100" i="9" s="1"/>
  <c r="AS34" i="20"/>
  <c r="L34" i="20" s="1"/>
  <c r="AS85" i="9"/>
  <c r="AS82" i="9" s="1"/>
  <c r="L82" i="9" s="1"/>
  <c r="AS94" i="9"/>
  <c r="AS91" i="9" s="1"/>
  <c r="L91" i="9" s="1"/>
  <c r="L41" i="9"/>
  <c r="Q22" i="21"/>
  <c r="AP86" i="9"/>
  <c r="K196" i="1"/>
  <c r="AL198" i="1"/>
  <c r="AL197" i="1"/>
  <c r="AS25" i="1"/>
  <c r="L25" i="1" s="1"/>
  <c r="AT175" i="1"/>
  <c r="AT177" i="1" s="1"/>
  <c r="L177" i="1"/>
  <c r="AS190" i="1"/>
  <c r="AR82" i="20"/>
  <c r="AR64" i="20"/>
  <c r="AR73" i="20"/>
  <c r="AO55" i="20"/>
  <c r="AQ64" i="1"/>
  <c r="AQ145" i="1"/>
  <c r="L82" i="22"/>
  <c r="AU20" i="9"/>
  <c r="AU27" i="9" s="1"/>
  <c r="AU29" i="9"/>
  <c r="AQ89" i="20"/>
  <c r="AT86" i="20"/>
  <c r="AT41" i="9"/>
  <c r="AT112" i="9" s="1"/>
  <c r="AT109" i="9" s="1"/>
  <c r="AR101" i="9"/>
  <c r="AR79" i="20"/>
  <c r="AM63" i="9"/>
  <c r="N97" i="21" s="1"/>
  <c r="AO53" i="20"/>
  <c r="AO92" i="20"/>
  <c r="K52" i="20"/>
  <c r="AQ59" i="9"/>
  <c r="AQ62" i="20"/>
  <c r="AV9" i="16"/>
  <c r="AW10" i="16"/>
  <c r="AV19" i="16"/>
  <c r="AV14" i="16"/>
  <c r="AV22" i="16"/>
  <c r="AV21" i="9"/>
  <c r="AV25" i="20"/>
  <c r="AV24" i="20" s="1"/>
  <c r="AV31" i="20" s="1"/>
  <c r="AM47" i="1"/>
  <c r="AT27" i="9"/>
  <c r="AQ71" i="20"/>
  <c r="AR70" i="20"/>
  <c r="AR92" i="9"/>
  <c r="AR133" i="1"/>
  <c r="AR30" i="1"/>
  <c r="S54" i="21" s="1"/>
  <c r="AR103" i="1"/>
  <c r="AR54" i="1" s="1"/>
  <c r="AS34" i="9"/>
  <c r="AP65" i="9"/>
  <c r="AP33" i="3" s="1"/>
  <c r="P19" i="21"/>
  <c r="AL56" i="20"/>
  <c r="AP104" i="9"/>
  <c r="AQ168" i="1"/>
  <c r="AQ169" i="1" s="1"/>
  <c r="R22" i="21" s="1"/>
  <c r="L90" i="1"/>
  <c r="AM56" i="20" l="1"/>
  <c r="AP55" i="20"/>
  <c r="AU34" i="9"/>
  <c r="AT88" i="20"/>
  <c r="AR168" i="1"/>
  <c r="AR169" i="1" s="1"/>
  <c r="AR71" i="20"/>
  <c r="AQ95" i="9"/>
  <c r="AN47" i="1"/>
  <c r="AM15" i="1"/>
  <c r="S55" i="21"/>
  <c r="L82" i="20"/>
  <c r="L64" i="20"/>
  <c r="L73" i="20"/>
  <c r="AT191" i="1"/>
  <c r="L190" i="1"/>
  <c r="AS82" i="20"/>
  <c r="AS64" i="20"/>
  <c r="AS73" i="20"/>
  <c r="AR89" i="20"/>
  <c r="AU87" i="20"/>
  <c r="L91" i="20"/>
  <c r="Q19" i="21"/>
  <c r="AT110" i="9"/>
  <c r="AT87" i="20"/>
  <c r="AQ104" i="9"/>
  <c r="AX187" i="1"/>
  <c r="AY183" i="1"/>
  <c r="AX184" i="1"/>
  <c r="L30" i="1"/>
  <c r="L76" i="1"/>
  <c r="AT32" i="9"/>
  <c r="AT37" i="9" s="1"/>
  <c r="AT35" i="9"/>
  <c r="AT36" i="9"/>
  <c r="AV20" i="9"/>
  <c r="AV27" i="9" s="1"/>
  <c r="AV29" i="9"/>
  <c r="AW14" i="16"/>
  <c r="AW22" i="16"/>
  <c r="AW9" i="16"/>
  <c r="AX10" i="16"/>
  <c r="AW19" i="16"/>
  <c r="AW21" i="9"/>
  <c r="AW25" i="20"/>
  <c r="AW24" i="20" s="1"/>
  <c r="AM125" i="1"/>
  <c r="AR64" i="1"/>
  <c r="AR145" i="1"/>
  <c r="AP65" i="20"/>
  <c r="AV30" i="16"/>
  <c r="AV108" i="9" s="1"/>
  <c r="AV35" i="16"/>
  <c r="AV107" i="9"/>
  <c r="AV13" i="16"/>
  <c r="AV17" i="16"/>
  <c r="AQ86" i="9"/>
  <c r="AR80" i="20"/>
  <c r="AS91" i="20"/>
  <c r="AQ113" i="9"/>
  <c r="AT34" i="9"/>
  <c r="L69" i="9"/>
  <c r="L73" i="9" s="1"/>
  <c r="L103" i="9"/>
  <c r="M34" i="22"/>
  <c r="L85" i="9"/>
  <c r="L94" i="9"/>
  <c r="L112" i="9"/>
  <c r="AS101" i="9"/>
  <c r="L101" i="9" s="1"/>
  <c r="AS79" i="20"/>
  <c r="AS89" i="20"/>
  <c r="AR59" i="9"/>
  <c r="AR104" i="9" s="1"/>
  <c r="AR62" i="20"/>
  <c r="AQ62" i="9"/>
  <c r="AQ32" i="3" s="1"/>
  <c r="AQ65" i="9"/>
  <c r="AQ33" i="3" s="1"/>
  <c r="AQ27" i="1"/>
  <c r="AQ60" i="9"/>
  <c r="AQ52" i="20"/>
  <c r="AQ74" i="20" s="1"/>
  <c r="K53" i="20"/>
  <c r="K55" i="20"/>
  <c r="J56" i="20" s="1"/>
  <c r="K92" i="20"/>
  <c r="K74" i="20"/>
  <c r="AT8" i="1"/>
  <c r="AT34" i="20"/>
  <c r="AT91" i="20" s="1"/>
  <c r="AT103" i="9"/>
  <c r="AT100" i="9" s="1"/>
  <c r="AT85" i="9"/>
  <c r="AT82" i="9" s="1"/>
  <c r="AT94" i="9"/>
  <c r="AT91" i="9" s="1"/>
  <c r="AT25" i="1"/>
  <c r="AU175" i="1"/>
  <c r="AU177" i="1" s="1"/>
  <c r="AT190" i="1"/>
  <c r="AS70" i="20"/>
  <c r="AS92" i="9"/>
  <c r="AS30" i="1"/>
  <c r="T54" i="21" s="1"/>
  <c r="AS103" i="1"/>
  <c r="AS54" i="1" s="1"/>
  <c r="AS133" i="1"/>
  <c r="AU86" i="20"/>
  <c r="AU41" i="9"/>
  <c r="AU112" i="9" s="1"/>
  <c r="AU109" i="9" s="1"/>
  <c r="AU88" i="20" s="1"/>
  <c r="Q96" i="21"/>
  <c r="Q86" i="21"/>
  <c r="Q87" i="21" s="1"/>
  <c r="AP53" i="20"/>
  <c r="AP74" i="20"/>
  <c r="AP92" i="20"/>
  <c r="L68" i="9"/>
  <c r="L72" i="9" s="1"/>
  <c r="M30" i="22"/>
  <c r="L35" i="9"/>
  <c r="L36" i="9"/>
  <c r="AU32" i="9"/>
  <c r="AU37" i="9" s="1"/>
  <c r="AU35" i="9"/>
  <c r="AU36" i="9"/>
  <c r="AS61" i="20"/>
  <c r="L61" i="20" s="1"/>
  <c r="AS83" i="9"/>
  <c r="K65" i="20"/>
  <c r="AN63" i="9"/>
  <c r="O97" i="21" s="1"/>
  <c r="K83" i="20"/>
  <c r="AW31" i="20" l="1"/>
  <c r="M31" i="20" s="1"/>
  <c r="AQ83" i="20"/>
  <c r="AO63" i="9"/>
  <c r="P97" i="21" s="1"/>
  <c r="M25" i="20"/>
  <c r="AR86" i="9"/>
  <c r="M24" i="20"/>
  <c r="AR62" i="9"/>
  <c r="AR32" i="3" s="1"/>
  <c r="S86" i="21" s="1"/>
  <c r="S87" i="21" s="1"/>
  <c r="AV34" i="9"/>
  <c r="T55" i="21"/>
  <c r="AU25" i="1"/>
  <c r="AV175" i="1"/>
  <c r="AV177" i="1" s="1"/>
  <c r="AU190" i="1"/>
  <c r="AV191" i="1" s="1"/>
  <c r="AT101" i="9"/>
  <c r="AT79" i="20"/>
  <c r="AQ53" i="20"/>
  <c r="AN56" i="20"/>
  <c r="AQ55" i="20"/>
  <c r="R96" i="21"/>
  <c r="R86" i="21"/>
  <c r="R87" i="21" s="1"/>
  <c r="AR27" i="1"/>
  <c r="AR60" i="9"/>
  <c r="AR52" i="20"/>
  <c r="AR83" i="20" s="1"/>
  <c r="AR65" i="9"/>
  <c r="AR33" i="3" s="1"/>
  <c r="AV87" i="20"/>
  <c r="AM128" i="1"/>
  <c r="AN125" i="1"/>
  <c r="AX14" i="16"/>
  <c r="AX22" i="16"/>
  <c r="AX9" i="16"/>
  <c r="AY10" i="16"/>
  <c r="AX19" i="16"/>
  <c r="AX21" i="9"/>
  <c r="AX25" i="20"/>
  <c r="AQ92" i="20"/>
  <c r="AM198" i="1"/>
  <c r="AR95" i="9"/>
  <c r="AS59" i="9"/>
  <c r="AS95" i="9" s="1"/>
  <c r="AS62" i="20"/>
  <c r="L62" i="20" s="1"/>
  <c r="AS71" i="20"/>
  <c r="AT82" i="20"/>
  <c r="AT64" i="20"/>
  <c r="AT73" i="20"/>
  <c r="R19" i="21"/>
  <c r="L83" i="9"/>
  <c r="AW13" i="16"/>
  <c r="AW17" i="16"/>
  <c r="M9" i="16"/>
  <c r="M13" i="16" s="1"/>
  <c r="AV32" i="9"/>
  <c r="AV37" i="9" s="1"/>
  <c r="AV35" i="9"/>
  <c r="AV36" i="9"/>
  <c r="AZ183" i="1"/>
  <c r="AY184" i="1"/>
  <c r="AY187" i="1"/>
  <c r="AR113" i="9"/>
  <c r="AQ65" i="20"/>
  <c r="AO47" i="1"/>
  <c r="K47" i="1" s="1"/>
  <c r="AN15" i="1"/>
  <c r="AN198" i="1" s="1"/>
  <c r="S22" i="21"/>
  <c r="L133" i="1"/>
  <c r="L172" i="1" s="1"/>
  <c r="AS64" i="1"/>
  <c r="L64" i="1" s="1"/>
  <c r="AS145" i="1"/>
  <c r="L145" i="1" s="1"/>
  <c r="AT70" i="20"/>
  <c r="AT92" i="9"/>
  <c r="AS80" i="20"/>
  <c r="L80" i="20" s="1"/>
  <c r="AV86" i="20"/>
  <c r="AV41" i="9"/>
  <c r="AV112" i="9" s="1"/>
  <c r="AV109" i="9" s="1"/>
  <c r="AV88" i="20" s="1"/>
  <c r="AW20" i="9"/>
  <c r="AW29" i="9"/>
  <c r="M21" i="9"/>
  <c r="AW30" i="16"/>
  <c r="AW35" i="16"/>
  <c r="AW107" i="9"/>
  <c r="M22" i="16"/>
  <c r="L23" i="12" s="1"/>
  <c r="L24" i="12" s="1"/>
  <c r="L58" i="12" s="1"/>
  <c r="L26" i="12" s="1"/>
  <c r="AS76" i="1"/>
  <c r="AP76" i="1"/>
  <c r="AQ76" i="1"/>
  <c r="AR76" i="1"/>
  <c r="M64" i="22"/>
  <c r="M86" i="22" s="1"/>
  <c r="U84" i="21"/>
  <c r="AT90" i="1"/>
  <c r="AU8" i="1"/>
  <c r="AU103" i="9"/>
  <c r="AU100" i="9" s="1"/>
  <c r="AU34" i="20"/>
  <c r="AU91" i="20" s="1"/>
  <c r="AU85" i="9"/>
  <c r="AU82" i="9" s="1"/>
  <c r="AU94" i="9"/>
  <c r="AU91" i="9" s="1"/>
  <c r="L103" i="1"/>
  <c r="L171" i="1" s="1"/>
  <c r="AS168" i="1"/>
  <c r="AU191" i="1"/>
  <c r="AT61" i="20"/>
  <c r="AT83" i="9"/>
  <c r="AT30" i="1"/>
  <c r="U54" i="21" s="1"/>
  <c r="AT103" i="1"/>
  <c r="AT133" i="1"/>
  <c r="L92" i="9"/>
  <c r="AT89" i="20"/>
  <c r="AU110" i="9"/>
  <c r="L89" i="20"/>
  <c r="AO56" i="20"/>
  <c r="S96" i="21" l="1"/>
  <c r="AR74" i="20"/>
  <c r="AR92" i="20"/>
  <c r="AS62" i="9"/>
  <c r="AS32" i="3" s="1"/>
  <c r="L32" i="3" s="1"/>
  <c r="AS104" i="9"/>
  <c r="AR65" i="20"/>
  <c r="S23" i="21"/>
  <c r="AR83" i="1"/>
  <c r="AR196" i="1"/>
  <c r="N24" i="22"/>
  <c r="M29" i="9"/>
  <c r="AS27" i="1"/>
  <c r="AS60" i="9"/>
  <c r="AS52" i="20"/>
  <c r="AS83" i="20" s="1"/>
  <c r="AP63" i="9"/>
  <c r="Q97" i="21" s="1"/>
  <c r="L59" i="9"/>
  <c r="L86" i="9" s="1"/>
  <c r="AS113" i="9"/>
  <c r="AS65" i="9"/>
  <c r="AX30" i="16"/>
  <c r="AX35" i="16"/>
  <c r="AX107" i="9"/>
  <c r="S19" i="21"/>
  <c r="AR55" i="20"/>
  <c r="AT80" i="20"/>
  <c r="AU89" i="20"/>
  <c r="AT168" i="1"/>
  <c r="AT169" i="1" s="1"/>
  <c r="L168" i="1"/>
  <c r="AS169" i="1"/>
  <c r="AU61" i="20"/>
  <c r="AU83" i="9"/>
  <c r="R23" i="21"/>
  <c r="AQ83" i="1"/>
  <c r="AQ196" i="1"/>
  <c r="AW86" i="20"/>
  <c r="M86" i="20" s="1"/>
  <c r="AW41" i="9"/>
  <c r="M41" i="9" s="1"/>
  <c r="AZ187" i="1"/>
  <c r="BA183" i="1"/>
  <c r="N183" i="1" s="1"/>
  <c r="N187" i="1" s="1"/>
  <c r="AZ184" i="1"/>
  <c r="L71" i="20"/>
  <c r="AS86" i="9"/>
  <c r="AV110" i="9"/>
  <c r="W84" i="21"/>
  <c r="AV90" i="1"/>
  <c r="AU70" i="20"/>
  <c r="AU92" i="9"/>
  <c r="Q23" i="21"/>
  <c r="AP83" i="1"/>
  <c r="AP196" i="1"/>
  <c r="AW27" i="9"/>
  <c r="M20" i="9"/>
  <c r="N23" i="22" s="1"/>
  <c r="AP47" i="1"/>
  <c r="AO15" i="1"/>
  <c r="AO198" i="1" s="1"/>
  <c r="AX24" i="20"/>
  <c r="AX31" i="20" s="1"/>
  <c r="AY19" i="16"/>
  <c r="AY14" i="16"/>
  <c r="AY22" i="16"/>
  <c r="AY9" i="16"/>
  <c r="AZ10" i="16"/>
  <c r="AY21" i="9"/>
  <c r="AY25" i="20"/>
  <c r="AY24" i="20" s="1"/>
  <c r="AY31" i="20" s="1"/>
  <c r="AN128" i="1"/>
  <c r="AO125" i="1"/>
  <c r="AV25" i="1"/>
  <c r="AW175" i="1"/>
  <c r="AV190" i="1"/>
  <c r="AT64" i="1"/>
  <c r="AT145" i="1"/>
  <c r="AT59" i="9"/>
  <c r="AT95" i="9" s="1"/>
  <c r="AT62" i="20"/>
  <c r="AU133" i="1"/>
  <c r="AU30" i="1"/>
  <c r="V54" i="21" s="1"/>
  <c r="AU103" i="1"/>
  <c r="U55" i="21"/>
  <c r="AU82" i="20"/>
  <c r="AU64" i="20"/>
  <c r="AU73" i="20"/>
  <c r="V84" i="21"/>
  <c r="AU90" i="1"/>
  <c r="AT54" i="1"/>
  <c r="AU79" i="20"/>
  <c r="AU101" i="9"/>
  <c r="T23" i="21"/>
  <c r="AS83" i="1"/>
  <c r="AS196" i="1"/>
  <c r="AW108" i="9"/>
  <c r="M30" i="16"/>
  <c r="M31" i="16" s="1"/>
  <c r="AV8" i="1"/>
  <c r="AV103" i="9"/>
  <c r="AV100" i="9" s="1"/>
  <c r="AV34" i="20"/>
  <c r="AV94" i="9"/>
  <c r="AV91" i="9" s="1"/>
  <c r="AV85" i="9"/>
  <c r="AV82" i="9" s="1"/>
  <c r="AT71" i="20"/>
  <c r="AX20" i="9"/>
  <c r="AX29" i="9"/>
  <c r="AX13" i="16"/>
  <c r="AX17" i="16"/>
  <c r="AR53" i="20"/>
  <c r="T86" i="21" l="1"/>
  <c r="T87" i="21" s="1"/>
  <c r="L95" i="9"/>
  <c r="T96" i="21"/>
  <c r="AS65" i="20"/>
  <c r="AS55" i="20"/>
  <c r="AP56" i="20"/>
  <c r="AS74" i="20"/>
  <c r="L52" i="20"/>
  <c r="L55" i="20" s="1"/>
  <c r="K56" i="20" s="1"/>
  <c r="AV82" i="20"/>
  <c r="AV64" i="20"/>
  <c r="AV73" i="20"/>
  <c r="AU168" i="1"/>
  <c r="AU169" i="1" s="1"/>
  <c r="V22" i="21" s="1"/>
  <c r="AT27" i="1"/>
  <c r="AT60" i="9"/>
  <c r="AT52" i="20"/>
  <c r="AT65" i="20" s="1"/>
  <c r="AT113" i="9"/>
  <c r="AV61" i="20"/>
  <c r="AV83" i="9"/>
  <c r="AV133" i="1"/>
  <c r="AV30" i="1"/>
  <c r="W54" i="21" s="1"/>
  <c r="AV103" i="1"/>
  <c r="AU80" i="20"/>
  <c r="AU64" i="1"/>
  <c r="AU145" i="1"/>
  <c r="AT86" i="9"/>
  <c r="M175" i="1"/>
  <c r="AW177" i="1"/>
  <c r="AY13" i="16"/>
  <c r="AY17" i="16"/>
  <c r="AQ47" i="1"/>
  <c r="AP15" i="1"/>
  <c r="AP198" i="1" s="1"/>
  <c r="L196" i="1"/>
  <c r="AP197" i="1"/>
  <c r="AV89" i="20"/>
  <c r="AW8" i="1"/>
  <c r="AW103" i="9"/>
  <c r="AW100" i="9" s="1"/>
  <c r="AW34" i="20"/>
  <c r="M34" i="20" s="1"/>
  <c r="AW94" i="9"/>
  <c r="AW91" i="9" s="1"/>
  <c r="AW85" i="9"/>
  <c r="AW82" i="9" s="1"/>
  <c r="M82" i="9" s="1"/>
  <c r="T22" i="21"/>
  <c r="L169" i="1"/>
  <c r="M63" i="22" s="1"/>
  <c r="M85" i="22" s="1"/>
  <c r="AU54" i="1"/>
  <c r="K15" i="1"/>
  <c r="K198" i="1" s="1"/>
  <c r="L62" i="9"/>
  <c r="L60" i="9"/>
  <c r="L70" i="9" s="1"/>
  <c r="M36" i="22"/>
  <c r="M60" i="22"/>
  <c r="L113" i="9"/>
  <c r="L104" i="9"/>
  <c r="T19" i="21"/>
  <c r="L27" i="1"/>
  <c r="AR197" i="1"/>
  <c r="AY30" i="16"/>
  <c r="AY108" i="9" s="1"/>
  <c r="AY35" i="16"/>
  <c r="AY107" i="9"/>
  <c r="L83" i="1"/>
  <c r="M41" i="22" s="1"/>
  <c r="AX108" i="9"/>
  <c r="AT62" i="9"/>
  <c r="AT32" i="3" s="1"/>
  <c r="AV91" i="20"/>
  <c r="AV70" i="20"/>
  <c r="AV92" i="9"/>
  <c r="AW87" i="20"/>
  <c r="M87" i="20" s="1"/>
  <c r="M108" i="9"/>
  <c r="AY20" i="9"/>
  <c r="AY27" i="9" s="1"/>
  <c r="AY29" i="9"/>
  <c r="AW112" i="9"/>
  <c r="AW109" i="9" s="1"/>
  <c r="AW110" i="9" s="1"/>
  <c r="AU59" i="9"/>
  <c r="AU62" i="20"/>
  <c r="AT104" i="9"/>
  <c r="AQ63" i="9"/>
  <c r="R97" i="21" s="1"/>
  <c r="AX27" i="9"/>
  <c r="M103" i="9"/>
  <c r="N34" i="22"/>
  <c r="M85" i="9"/>
  <c r="M94" i="9"/>
  <c r="AV101" i="9"/>
  <c r="AV79" i="20"/>
  <c r="AS197" i="1"/>
  <c r="V55" i="21"/>
  <c r="AW191" i="1"/>
  <c r="AO128" i="1"/>
  <c r="K125" i="1"/>
  <c r="AP125" i="1"/>
  <c r="AZ9" i="16"/>
  <c r="BA10" i="16"/>
  <c r="AZ19" i="16"/>
  <c r="AZ14" i="16"/>
  <c r="AZ22" i="16"/>
  <c r="AZ21" i="9"/>
  <c r="AZ25" i="20"/>
  <c r="AZ24" i="20" s="1"/>
  <c r="AZ31" i="20" s="1"/>
  <c r="AW32" i="9"/>
  <c r="AW37" i="9" s="1"/>
  <c r="AW35" i="9"/>
  <c r="AW36" i="9"/>
  <c r="M27" i="9"/>
  <c r="M69" i="9" s="1"/>
  <c r="AU71" i="20"/>
  <c r="BA187" i="1"/>
  <c r="BA184" i="1"/>
  <c r="N184" i="1" s="1"/>
  <c r="O53" i="22" s="1"/>
  <c r="O56" i="22" s="1"/>
  <c r="J183" i="1"/>
  <c r="J187" i="1" s="1"/>
  <c r="AW34" i="9"/>
  <c r="AQ197" i="1"/>
  <c r="U22" i="21"/>
  <c r="AX86" i="20"/>
  <c r="AX41" i="9"/>
  <c r="AS33" i="3"/>
  <c r="L33" i="3" s="1"/>
  <c r="L65" i="9"/>
  <c r="AT65" i="9"/>
  <c r="AT33" i="3" s="1"/>
  <c r="AS53" i="20"/>
  <c r="AS92" i="20"/>
  <c r="L65" i="20" l="1"/>
  <c r="M73" i="9"/>
  <c r="L74" i="20"/>
  <c r="L92" i="20"/>
  <c r="L83" i="20"/>
  <c r="AQ56" i="20"/>
  <c r="AW91" i="20"/>
  <c r="AT83" i="20"/>
  <c r="AT74" i="20"/>
  <c r="L53" i="20"/>
  <c r="AX8" i="1"/>
  <c r="AX34" i="20"/>
  <c r="AX91" i="20" s="1"/>
  <c r="AX103" i="9"/>
  <c r="AX100" i="9" s="1"/>
  <c r="AX85" i="9"/>
  <c r="AX82" i="9" s="1"/>
  <c r="AX94" i="9"/>
  <c r="AX91" i="9" s="1"/>
  <c r="AR63" i="9"/>
  <c r="S97" i="21" s="1"/>
  <c r="AV71" i="20"/>
  <c r="AY87" i="20"/>
  <c r="AZ20" i="9"/>
  <c r="AZ27" i="9" s="1"/>
  <c r="AZ29" i="9"/>
  <c r="BA14" i="16"/>
  <c r="BA22" i="16"/>
  <c r="BA9" i="16"/>
  <c r="BA19" i="16"/>
  <c r="BA21" i="9"/>
  <c r="N21" i="9" s="1"/>
  <c r="BA25" i="20"/>
  <c r="BA24" i="20" s="1"/>
  <c r="M10" i="16"/>
  <c r="K128" i="1"/>
  <c r="AX112" i="9"/>
  <c r="AX109" i="9" s="1"/>
  <c r="AZ30" i="16"/>
  <c r="AZ35" i="16"/>
  <c r="AZ107" i="9"/>
  <c r="AZ13" i="16"/>
  <c r="AZ17" i="16"/>
  <c r="N9" i="16"/>
  <c r="P9" i="16" s="1"/>
  <c r="AV80" i="20"/>
  <c r="AW88" i="20"/>
  <c r="M88" i="20" s="1"/>
  <c r="M109" i="9"/>
  <c r="AY34" i="9"/>
  <c r="U86" i="21"/>
  <c r="U87" i="21" s="1"/>
  <c r="U96" i="21"/>
  <c r="AY86" i="20"/>
  <c r="AY41" i="9"/>
  <c r="AY112" i="9" s="1"/>
  <c r="AY109" i="9" s="1"/>
  <c r="AY88" i="20" s="1"/>
  <c r="K63" i="9"/>
  <c r="L77" i="9"/>
  <c r="L76" i="9" s="1"/>
  <c r="AW61" i="20"/>
  <c r="AW83" i="9"/>
  <c r="M83" i="9" s="1"/>
  <c r="AW30" i="1"/>
  <c r="X54" i="21" s="1"/>
  <c r="AW103" i="1"/>
  <c r="AW54" i="1" s="1"/>
  <c r="AW133" i="1"/>
  <c r="M8" i="1"/>
  <c r="AR47" i="1"/>
  <c r="AQ15" i="1"/>
  <c r="AQ198" i="1" s="1"/>
  <c r="W55" i="21"/>
  <c r="AU95" i="9"/>
  <c r="AQ125" i="1"/>
  <c r="AP128" i="1"/>
  <c r="X84" i="21"/>
  <c r="AW90" i="1"/>
  <c r="M191" i="1"/>
  <c r="N54" i="22" s="1"/>
  <c r="AU86" i="9"/>
  <c r="AY32" i="9"/>
  <c r="AY37" i="9" s="1"/>
  <c r="AY35" i="9"/>
  <c r="AY36" i="9"/>
  <c r="AW89" i="20"/>
  <c r="M89" i="20" s="1"/>
  <c r="M82" i="20"/>
  <c r="M64" i="20"/>
  <c r="M73" i="20"/>
  <c r="AX110" i="9"/>
  <c r="AX87" i="20"/>
  <c r="M82" i="22"/>
  <c r="AW70" i="20"/>
  <c r="AW92" i="9"/>
  <c r="M92" i="9" s="1"/>
  <c r="M110" i="9"/>
  <c r="AV64" i="1"/>
  <c r="AV145" i="1"/>
  <c r="AU65" i="9"/>
  <c r="AU33" i="3" s="1"/>
  <c r="U19" i="21"/>
  <c r="M32" i="9"/>
  <c r="M37" i="9" s="1"/>
  <c r="M68" i="9"/>
  <c r="M72" i="9" s="1"/>
  <c r="N30" i="22"/>
  <c r="M35" i="9"/>
  <c r="M36" i="9"/>
  <c r="M34" i="9"/>
  <c r="AU27" i="1"/>
  <c r="AU60" i="9"/>
  <c r="AU52" i="20"/>
  <c r="AR56" i="20" s="1"/>
  <c r="AU113" i="9"/>
  <c r="M37" i="22"/>
  <c r="M35" i="22"/>
  <c r="AW82" i="20"/>
  <c r="AW64" i="20"/>
  <c r="AW73" i="20"/>
  <c r="AU104" i="9"/>
  <c r="AU62" i="9"/>
  <c r="AU32" i="3" s="1"/>
  <c r="M91" i="20"/>
  <c r="AX32" i="9"/>
  <c r="AX37" i="9" s="1"/>
  <c r="AX35" i="9"/>
  <c r="AX36" i="9"/>
  <c r="AW101" i="9"/>
  <c r="M101" i="9" s="1"/>
  <c r="AW79" i="20"/>
  <c r="M100" i="9"/>
  <c r="AW25" i="1"/>
  <c r="M25" i="1" s="1"/>
  <c r="AX175" i="1"/>
  <c r="AX177" i="1" s="1"/>
  <c r="M177" i="1"/>
  <c r="AW190" i="1"/>
  <c r="AV168" i="1"/>
  <c r="AV169" i="1" s="1"/>
  <c r="AV59" i="9"/>
  <c r="AV65" i="9" s="1"/>
  <c r="AV33" i="3" s="1"/>
  <c r="AV62" i="20"/>
  <c r="AX34" i="9"/>
  <c r="AT53" i="20"/>
  <c r="AT92" i="20"/>
  <c r="AT55" i="20"/>
  <c r="AV54" i="1"/>
  <c r="N10" i="16"/>
  <c r="P10" i="16" s="1"/>
  <c r="BA31" i="20" l="1"/>
  <c r="N31" i="20" s="1"/>
  <c r="P31" i="20" s="1"/>
  <c r="N24" i="20"/>
  <c r="P24" i="20" s="1"/>
  <c r="N25" i="20"/>
  <c r="P25" i="20" s="1"/>
  <c r="AU55" i="20"/>
  <c r="AV86" i="9"/>
  <c r="AS63" i="9"/>
  <c r="T97" i="21" s="1"/>
  <c r="P21" i="9"/>
  <c r="O24" i="22"/>
  <c r="N29" i="9"/>
  <c r="V19" i="21"/>
  <c r="AX191" i="1"/>
  <c r="M190" i="1"/>
  <c r="AV27" i="1"/>
  <c r="AV60" i="9"/>
  <c r="AV52" i="20"/>
  <c r="AS56" i="20" s="1"/>
  <c r="AV113" i="9"/>
  <c r="AW71" i="20"/>
  <c r="AS47" i="1"/>
  <c r="AR15" i="1"/>
  <c r="AR198" i="1" s="1"/>
  <c r="X55" i="21"/>
  <c r="AZ108" i="9"/>
  <c r="BA20" i="9"/>
  <c r="BA27" i="9" s="1"/>
  <c r="BA29" i="9"/>
  <c r="L21" i="9"/>
  <c r="AY110" i="9"/>
  <c r="AV95" i="9"/>
  <c r="AX101" i="9"/>
  <c r="AX79" i="20"/>
  <c r="N14" i="16"/>
  <c r="N15" i="16"/>
  <c r="AU53" i="20"/>
  <c r="AU92" i="20"/>
  <c r="AU83" i="20"/>
  <c r="AQ128" i="1"/>
  <c r="AR125" i="1"/>
  <c r="M30" i="1"/>
  <c r="M76" i="1"/>
  <c r="AW59" i="9"/>
  <c r="AW95" i="9" s="1"/>
  <c r="AW62" i="20"/>
  <c r="AY8" i="1"/>
  <c r="AY103" i="9"/>
  <c r="AY100" i="9" s="1"/>
  <c r="AY34" i="20"/>
  <c r="AY91" i="20" s="1"/>
  <c r="AY85" i="9"/>
  <c r="AY82" i="9" s="1"/>
  <c r="AY94" i="9"/>
  <c r="AY91" i="9" s="1"/>
  <c r="AU74" i="20"/>
  <c r="AZ34" i="9"/>
  <c r="AV62" i="9"/>
  <c r="AV32" i="3" s="1"/>
  <c r="AX82" i="20"/>
  <c r="AX64" i="20"/>
  <c r="AX73" i="20"/>
  <c r="W22" i="21"/>
  <c r="AX25" i="1"/>
  <c r="AY175" i="1"/>
  <c r="AY177" i="1" s="1"/>
  <c r="AX190" i="1"/>
  <c r="AX89" i="20"/>
  <c r="M90" i="1"/>
  <c r="M133" i="1"/>
  <c r="M172" i="1" s="1"/>
  <c r="AW64" i="1"/>
  <c r="M64" i="1" s="1"/>
  <c r="AW145" i="1"/>
  <c r="M145" i="1" s="1"/>
  <c r="AU65" i="20"/>
  <c r="AV104" i="9"/>
  <c r="AZ86" i="20"/>
  <c r="AZ41" i="9"/>
  <c r="AZ112" i="9" s="1"/>
  <c r="AZ109" i="9" s="1"/>
  <c r="AX88" i="20"/>
  <c r="M15" i="16"/>
  <c r="M14" i="16"/>
  <c r="BA13" i="16"/>
  <c r="BA17" i="16"/>
  <c r="AZ32" i="9"/>
  <c r="AZ37" i="9" s="1"/>
  <c r="AZ35" i="9"/>
  <c r="AZ36" i="9"/>
  <c r="AX70" i="20"/>
  <c r="AX92" i="9"/>
  <c r="V96" i="21"/>
  <c r="V86" i="21"/>
  <c r="V87" i="21" s="1"/>
  <c r="M54" i="1"/>
  <c r="AW80" i="20"/>
  <c r="M103" i="1"/>
  <c r="M171" i="1" s="1"/>
  <c r="AW168" i="1"/>
  <c r="N13" i="16"/>
  <c r="BA30" i="16"/>
  <c r="BA108" i="9" s="1"/>
  <c r="BA35" i="16"/>
  <c r="N35" i="16" s="1"/>
  <c r="BA107" i="9"/>
  <c r="N22" i="16"/>
  <c r="M23" i="12" s="1"/>
  <c r="M24" i="12" s="1"/>
  <c r="M58" i="12" s="1"/>
  <c r="M26" i="12" s="1"/>
  <c r="AX61" i="20"/>
  <c r="AX83" i="9"/>
  <c r="AX30" i="1"/>
  <c r="Y54" i="21" s="1"/>
  <c r="AX103" i="1"/>
  <c r="AX54" i="1" s="1"/>
  <c r="AX133" i="1"/>
  <c r="AW104" i="9" l="1"/>
  <c r="AV65" i="20"/>
  <c r="AW86" i="9"/>
  <c r="AV74" i="20"/>
  <c r="AV55" i="20"/>
  <c r="AV83" i="20"/>
  <c r="BA34" i="9"/>
  <c r="N20" i="9"/>
  <c r="P20" i="9" s="1"/>
  <c r="AZ88" i="20"/>
  <c r="AX64" i="1"/>
  <c r="AX145" i="1"/>
  <c r="AX59" i="9"/>
  <c r="AX86" i="9" s="1"/>
  <c r="AX62" i="20"/>
  <c r="AY70" i="20"/>
  <c r="AY92" i="9"/>
  <c r="AY133" i="1"/>
  <c r="AY30" i="1"/>
  <c r="Z54" i="21" s="1"/>
  <c r="AY103" i="1"/>
  <c r="AY54" i="1" s="1"/>
  <c r="AW76" i="1"/>
  <c r="AT76" i="1"/>
  <c r="AT47" i="1" s="1"/>
  <c r="AU76" i="1"/>
  <c r="AV76" i="1"/>
  <c r="N64" i="22"/>
  <c r="N86" i="22" s="1"/>
  <c r="AW62" i="9"/>
  <c r="AW32" i="3" s="1"/>
  <c r="BA32" i="9"/>
  <c r="BA37" i="9" s="1"/>
  <c r="BA35" i="9"/>
  <c r="BA36" i="9"/>
  <c r="N27" i="9"/>
  <c r="N34" i="9" s="1"/>
  <c r="AW65" i="9"/>
  <c r="BA86" i="20"/>
  <c r="N86" i="20" s="1"/>
  <c r="BA41" i="9"/>
  <c r="N41" i="9" s="1"/>
  <c r="M107" i="9"/>
  <c r="M112" i="9" s="1"/>
  <c r="AX71" i="20"/>
  <c r="AY191" i="1"/>
  <c r="AY61" i="20"/>
  <c r="AY83" i="9"/>
  <c r="AY89" i="20"/>
  <c r="N30" i="16"/>
  <c r="AV53" i="20"/>
  <c r="AV92" i="20"/>
  <c r="Y84" i="21"/>
  <c r="AX90" i="1"/>
  <c r="AX168" i="1"/>
  <c r="AX169" i="1" s="1"/>
  <c r="Y55" i="21"/>
  <c r="I35" i="16"/>
  <c r="J35" i="16"/>
  <c r="K35" i="16"/>
  <c r="L35" i="16"/>
  <c r="M35" i="16"/>
  <c r="N107" i="9"/>
  <c r="AY25" i="1"/>
  <c r="AZ175" i="1"/>
  <c r="AZ177" i="1" s="1"/>
  <c r="AY190" i="1"/>
  <c r="AZ191" i="1" s="1"/>
  <c r="M80" i="20"/>
  <c r="AY82" i="20"/>
  <c r="AY64" i="20"/>
  <c r="AY73" i="20"/>
  <c r="AW27" i="1"/>
  <c r="AW60" i="9"/>
  <c r="AW52" i="20"/>
  <c r="AW74" i="20" s="1"/>
  <c r="M59" i="9"/>
  <c r="AT63" i="9"/>
  <c r="U97" i="21" s="1"/>
  <c r="AW113" i="9"/>
  <c r="AR128" i="1"/>
  <c r="AS125" i="1"/>
  <c r="AX80" i="20"/>
  <c r="M24" i="22"/>
  <c r="L29" i="9"/>
  <c r="AZ110" i="9"/>
  <c r="AZ87" i="20"/>
  <c r="N108" i="9"/>
  <c r="P108" i="9" s="1"/>
  <c r="M71" i="20"/>
  <c r="W19" i="21"/>
  <c r="P29" i="9"/>
  <c r="M62" i="20"/>
  <c r="BA87" i="20"/>
  <c r="AW169" i="1"/>
  <c r="M168" i="1"/>
  <c r="AZ8" i="1"/>
  <c r="AZ103" i="9"/>
  <c r="AZ100" i="9" s="1"/>
  <c r="AZ34" i="20"/>
  <c r="AZ85" i="9"/>
  <c r="AZ82" i="9" s="1"/>
  <c r="AZ94" i="9"/>
  <c r="AZ91" i="9" s="1"/>
  <c r="W86" i="21"/>
  <c r="W87" i="21" s="1"/>
  <c r="W96" i="21"/>
  <c r="AY79" i="20"/>
  <c r="AY101" i="9"/>
  <c r="AS15" i="1"/>
  <c r="L47" i="1"/>
  <c r="N31" i="16" l="1"/>
  <c r="O23" i="22"/>
  <c r="Q23" i="22" s="1"/>
  <c r="AU63" i="9"/>
  <c r="V97" i="21" s="1"/>
  <c r="AX104" i="9"/>
  <c r="AX95" i="9"/>
  <c r="AX65" i="9"/>
  <c r="AX33" i="3" s="1"/>
  <c r="AX62" i="9"/>
  <c r="AX32" i="3" s="1"/>
  <c r="Y86" i="21" s="1"/>
  <c r="Y87" i="21" s="1"/>
  <c r="AW55" i="20"/>
  <c r="M52" i="20"/>
  <c r="M65" i="20" s="1"/>
  <c r="N69" i="9"/>
  <c r="P41" i="9"/>
  <c r="N103" i="9"/>
  <c r="O34" i="22"/>
  <c r="Q34" i="22" s="1"/>
  <c r="N85" i="9"/>
  <c r="N94" i="9"/>
  <c r="AY80" i="20"/>
  <c r="AS198" i="1"/>
  <c r="L15" i="1"/>
  <c r="L198" i="1" s="1"/>
  <c r="AZ89" i="20"/>
  <c r="M62" i="9"/>
  <c r="M60" i="9"/>
  <c r="M70" i="9" s="1"/>
  <c r="N60" i="22"/>
  <c r="N36" i="22"/>
  <c r="M86" i="9"/>
  <c r="M113" i="9"/>
  <c r="M104" i="9"/>
  <c r="M95" i="9"/>
  <c r="AZ25" i="1"/>
  <c r="BA175" i="1"/>
  <c r="AZ190" i="1"/>
  <c r="BA191" i="1" s="1"/>
  <c r="N191" i="1" s="1"/>
  <c r="O54" i="22" s="1"/>
  <c r="AY59" i="9"/>
  <c r="AY86" i="9" s="1"/>
  <c r="AY62" i="20"/>
  <c r="P27" i="9"/>
  <c r="N68" i="9"/>
  <c r="N32" i="9"/>
  <c r="O30" i="22"/>
  <c r="Q30" i="22" s="1"/>
  <c r="N35" i="9"/>
  <c r="N36" i="9"/>
  <c r="X96" i="21"/>
  <c r="X86" i="21"/>
  <c r="X87" i="21" s="1"/>
  <c r="M32" i="3"/>
  <c r="V23" i="21"/>
  <c r="AU83" i="1"/>
  <c r="AU196" i="1"/>
  <c r="Z55" i="21"/>
  <c r="AX27" i="1"/>
  <c r="AX60" i="9"/>
  <c r="AX52" i="20"/>
  <c r="AU56" i="20" s="1"/>
  <c r="AX113" i="9"/>
  <c r="AZ101" i="9"/>
  <c r="AZ79" i="20"/>
  <c r="AZ61" i="20"/>
  <c r="AZ83" i="9"/>
  <c r="AU47" i="1"/>
  <c r="AT15" i="1"/>
  <c r="AZ82" i="20"/>
  <c r="AZ64" i="20"/>
  <c r="AZ73" i="20"/>
  <c r="X22" i="21"/>
  <c r="M169" i="1"/>
  <c r="N63" i="22" s="1"/>
  <c r="N85" i="22" s="1"/>
  <c r="L34" i="9"/>
  <c r="L32" i="9"/>
  <c r="L37" i="9" s="1"/>
  <c r="AW53" i="20"/>
  <c r="AW92" i="20"/>
  <c r="P86" i="20"/>
  <c r="AT56" i="20"/>
  <c r="BA8" i="1"/>
  <c r="N8" i="1" s="1"/>
  <c r="BA103" i="9"/>
  <c r="BA100" i="9" s="1"/>
  <c r="BA34" i="20"/>
  <c r="N34" i="20" s="1"/>
  <c r="BA94" i="9"/>
  <c r="BA91" i="9" s="1"/>
  <c r="N91" i="9" s="1"/>
  <c r="P91" i="9" s="1"/>
  <c r="BA85" i="9"/>
  <c r="BA82" i="9" s="1"/>
  <c r="U23" i="21"/>
  <c r="AT83" i="1"/>
  <c r="AT196" i="1"/>
  <c r="AY64" i="1"/>
  <c r="AY145" i="1"/>
  <c r="AW83" i="20"/>
  <c r="L125" i="1"/>
  <c r="AS128" i="1"/>
  <c r="AT125" i="1"/>
  <c r="X19" i="21"/>
  <c r="M27" i="1"/>
  <c r="N112" i="9"/>
  <c r="P107" i="9"/>
  <c r="X23" i="21"/>
  <c r="AW83" i="1"/>
  <c r="AW196" i="1"/>
  <c r="AY71" i="20"/>
  <c r="AZ91" i="20"/>
  <c r="AZ70" i="20"/>
  <c r="AZ92" i="9"/>
  <c r="AZ133" i="1"/>
  <c r="AZ30" i="1"/>
  <c r="AA54" i="21" s="1"/>
  <c r="AZ103" i="1"/>
  <c r="AZ54" i="1" s="1"/>
  <c r="N87" i="20"/>
  <c r="P87" i="20" s="1"/>
  <c r="AA84" i="21"/>
  <c r="AZ90" i="1"/>
  <c r="Y22" i="21"/>
  <c r="AW65" i="20"/>
  <c r="Z84" i="21"/>
  <c r="AY90" i="1"/>
  <c r="BA112" i="9"/>
  <c r="BA109" i="9" s="1"/>
  <c r="AW33" i="3"/>
  <c r="M33" i="3" s="1"/>
  <c r="M65" i="9"/>
  <c r="W23" i="21"/>
  <c r="AV83" i="1"/>
  <c r="AV196" i="1"/>
  <c r="AY168" i="1"/>
  <c r="AY169" i="1" s="1"/>
  <c r="Z22" i="21" s="1"/>
  <c r="Y96" i="21" l="1"/>
  <c r="M83" i="20"/>
  <c r="M55" i="20"/>
  <c r="L56" i="20" s="1"/>
  <c r="M53" i="20"/>
  <c r="M92" i="20"/>
  <c r="AY95" i="9"/>
  <c r="AX55" i="20"/>
  <c r="N72" i="9"/>
  <c r="AY62" i="9"/>
  <c r="AY32" i="3" s="1"/>
  <c r="Z86" i="21" s="1"/>
  <c r="Z87" i="21" s="1"/>
  <c r="AX74" i="20"/>
  <c r="AX83" i="20"/>
  <c r="AX65" i="20"/>
  <c r="M74" i="20"/>
  <c r="M83" i="1"/>
  <c r="N41" i="22" s="1"/>
  <c r="P34" i="20"/>
  <c r="N82" i="20"/>
  <c r="N64" i="20"/>
  <c r="N73" i="20"/>
  <c r="N91" i="20"/>
  <c r="N30" i="1"/>
  <c r="N76" i="1"/>
  <c r="BA88" i="20"/>
  <c r="N88" i="20" s="1"/>
  <c r="P88" i="20" s="1"/>
  <c r="BA110" i="9"/>
  <c r="N109" i="9"/>
  <c r="P109" i="9" s="1"/>
  <c r="BA101" i="9"/>
  <c r="N101" i="9" s="1"/>
  <c r="BA79" i="20"/>
  <c r="N79" i="20" s="1"/>
  <c r="P79" i="20" s="1"/>
  <c r="L100" i="9"/>
  <c r="AA55" i="21"/>
  <c r="BA61" i="20"/>
  <c r="BA83" i="9"/>
  <c r="AZ64" i="1"/>
  <c r="AZ145" i="1"/>
  <c r="BA91" i="20"/>
  <c r="M196" i="1"/>
  <c r="AT198" i="1"/>
  <c r="AT197" i="1"/>
  <c r="BA70" i="20"/>
  <c r="N70" i="20" s="1"/>
  <c r="P70" i="20" s="1"/>
  <c r="BA92" i="9"/>
  <c r="N92" i="9" s="1"/>
  <c r="M91" i="9"/>
  <c r="AZ59" i="9"/>
  <c r="AZ86" i="9" s="1"/>
  <c r="AZ62" i="20"/>
  <c r="AZ80" i="20"/>
  <c r="AU197" i="1"/>
  <c r="AY27" i="1"/>
  <c r="AY60" i="9"/>
  <c r="AY52" i="20"/>
  <c r="AY83" i="20" s="1"/>
  <c r="AY65" i="9"/>
  <c r="AY33" i="3" s="1"/>
  <c r="AV63" i="9"/>
  <c r="W97" i="21" s="1"/>
  <c r="AY113" i="9"/>
  <c r="L63" i="9"/>
  <c r="M77" i="9"/>
  <c r="M76" i="9" s="1"/>
  <c r="AY104" i="9"/>
  <c r="AW197" i="1"/>
  <c r="BA82" i="20"/>
  <c r="BA64" i="20"/>
  <c r="BA73" i="20"/>
  <c r="Y19" i="21"/>
  <c r="N37" i="22"/>
  <c r="N35" i="22"/>
  <c r="AV197" i="1"/>
  <c r="AU125" i="1"/>
  <c r="AT128" i="1"/>
  <c r="AV47" i="1"/>
  <c r="AU15" i="1"/>
  <c r="AU198" i="1" s="1"/>
  <c r="N100" i="9"/>
  <c r="P100" i="9" s="1"/>
  <c r="P32" i="9"/>
  <c r="N37" i="9"/>
  <c r="AB84" i="21"/>
  <c r="BA90" i="1"/>
  <c r="N82" i="22"/>
  <c r="N73" i="9"/>
  <c r="AZ168" i="1"/>
  <c r="AZ169" i="1" s="1"/>
  <c r="AZ71" i="20"/>
  <c r="L128" i="1"/>
  <c r="BA30" i="1"/>
  <c r="AB54" i="21" s="1"/>
  <c r="BA103" i="1"/>
  <c r="BA54" i="1" s="1"/>
  <c r="BA133" i="1"/>
  <c r="N82" i="9"/>
  <c r="P82" i="9" s="1"/>
  <c r="AX53" i="20"/>
  <c r="AX92" i="20"/>
  <c r="N175" i="1"/>
  <c r="BA177" i="1"/>
  <c r="Z96" i="21" l="1"/>
  <c r="AZ95" i="9"/>
  <c r="AW63" i="9"/>
  <c r="X97" i="21" s="1"/>
  <c r="AZ62" i="9"/>
  <c r="AZ32" i="3" s="1"/>
  <c r="AA96" i="21" s="1"/>
  <c r="AY65" i="20"/>
  <c r="AZ104" i="9"/>
  <c r="L54" i="1"/>
  <c r="N54" i="1"/>
  <c r="BA25" i="1"/>
  <c r="N25" i="1" s="1"/>
  <c r="N177" i="1"/>
  <c r="BA190" i="1"/>
  <c r="N190" i="1" s="1"/>
  <c r="AB55" i="21"/>
  <c r="AU128" i="1"/>
  <c r="AV125" i="1"/>
  <c r="AZ65" i="9"/>
  <c r="AZ33" i="3" s="1"/>
  <c r="BA80" i="20"/>
  <c r="BA76" i="1"/>
  <c r="AX76" i="1"/>
  <c r="AY76" i="1"/>
  <c r="AZ76" i="1"/>
  <c r="O64" i="22"/>
  <c r="O86" i="22" s="1"/>
  <c r="AA22" i="21"/>
  <c r="Z19" i="21"/>
  <c r="AZ27" i="1"/>
  <c r="AZ60" i="9"/>
  <c r="AZ52" i="20"/>
  <c r="AZ74" i="20" s="1"/>
  <c r="AZ113" i="9"/>
  <c r="BA71" i="20"/>
  <c r="BA59" i="9"/>
  <c r="BA104" i="9" s="1"/>
  <c r="BA62" i="20"/>
  <c r="N83" i="9"/>
  <c r="BA64" i="1"/>
  <c r="N64" i="1" s="1"/>
  <c r="N133" i="1"/>
  <c r="N172" i="1" s="1"/>
  <c r="BA145" i="1"/>
  <c r="N145" i="1" s="1"/>
  <c r="P92" i="9"/>
  <c r="AW47" i="1"/>
  <c r="AV15" i="1"/>
  <c r="AV198" i="1" s="1"/>
  <c r="P101" i="9"/>
  <c r="L70" i="20"/>
  <c r="M70" i="20"/>
  <c r="K61" i="20"/>
  <c r="M61" i="20"/>
  <c r="BA89" i="20"/>
  <c r="N110" i="9"/>
  <c r="N103" i="1"/>
  <c r="N171" i="1" s="1"/>
  <c r="BA168" i="1"/>
  <c r="AY53" i="20"/>
  <c r="AY92" i="20"/>
  <c r="AY55" i="20"/>
  <c r="AV56" i="20"/>
  <c r="AY74" i="20"/>
  <c r="L79" i="20"/>
  <c r="M79" i="20"/>
  <c r="N90" i="1"/>
  <c r="N61" i="20"/>
  <c r="P61" i="20" s="1"/>
  <c r="AA86" i="21" l="1"/>
  <c r="AA87" i="21" s="1"/>
  <c r="BA113" i="9"/>
  <c r="AZ65" i="20"/>
  <c r="AZ55" i="20"/>
  <c r="AW56" i="20"/>
  <c r="BA62" i="9"/>
  <c r="BA32" i="3" s="1"/>
  <c r="AB96" i="21" s="1"/>
  <c r="N71" i="20"/>
  <c r="AX47" i="1"/>
  <c r="AW15" i="1"/>
  <c r="AW198" i="1" s="1"/>
  <c r="BA95" i="9"/>
  <c r="AX63" i="9"/>
  <c r="Y97" i="21" s="1"/>
  <c r="AA19" i="21"/>
  <c r="Z23" i="21"/>
  <c r="AY83" i="1"/>
  <c r="AY196" i="1"/>
  <c r="AV128" i="1"/>
  <c r="AW125" i="1"/>
  <c r="BA169" i="1"/>
  <c r="N168" i="1"/>
  <c r="P83" i="9"/>
  <c r="BA27" i="1"/>
  <c r="N27" i="1" s="1"/>
  <c r="BA60" i="9"/>
  <c r="BA52" i="20"/>
  <c r="BA53" i="20" s="1"/>
  <c r="BA65" i="9"/>
  <c r="N80" i="20"/>
  <c r="Y23" i="21"/>
  <c r="AX83" i="1"/>
  <c r="AX196" i="1"/>
  <c r="AA23" i="21"/>
  <c r="AZ83" i="1"/>
  <c r="AZ196" i="1"/>
  <c r="P110" i="9"/>
  <c r="N89" i="20"/>
  <c r="M47" i="1"/>
  <c r="BA86" i="9"/>
  <c r="N59" i="9"/>
  <c r="AZ53" i="20"/>
  <c r="AZ92" i="20"/>
  <c r="AZ83" i="20"/>
  <c r="AB23" i="21"/>
  <c r="BA83" i="1"/>
  <c r="BA196" i="1"/>
  <c r="N62" i="20"/>
  <c r="N52" i="20" l="1"/>
  <c r="N74" i="20" s="1"/>
  <c r="BA92" i="20"/>
  <c r="N32" i="3"/>
  <c r="AB86" i="21"/>
  <c r="AB87" i="21" s="1"/>
  <c r="BA55" i="20"/>
  <c r="AX56" i="20"/>
  <c r="M15" i="1"/>
  <c r="M198" i="1" s="1"/>
  <c r="P80" i="20"/>
  <c r="AY47" i="1"/>
  <c r="AX15" i="1"/>
  <c r="AX198" i="1" s="1"/>
  <c r="P89" i="20"/>
  <c r="AZ197" i="1"/>
  <c r="N196" i="1"/>
  <c r="AX197" i="1"/>
  <c r="BA33" i="3"/>
  <c r="N33" i="3" s="1"/>
  <c r="N65" i="9"/>
  <c r="AY197" i="1"/>
  <c r="BA197" i="1"/>
  <c r="AB19" i="21"/>
  <c r="N60" i="9"/>
  <c r="N70" i="9" s="1"/>
  <c r="P59" i="9"/>
  <c r="N62" i="9"/>
  <c r="O60" i="22"/>
  <c r="O36" i="22"/>
  <c r="N95" i="9"/>
  <c r="N104" i="9"/>
  <c r="N83" i="1"/>
  <c r="O41" i="22" s="1"/>
  <c r="BA83" i="20"/>
  <c r="AB22" i="21"/>
  <c r="N169" i="1"/>
  <c r="O63" i="22" s="1"/>
  <c r="O85" i="22" s="1"/>
  <c r="BA65" i="20"/>
  <c r="P71" i="20"/>
  <c r="P62" i="20"/>
  <c r="N113" i="9"/>
  <c r="N86" i="9"/>
  <c r="M125" i="1"/>
  <c r="AW128" i="1"/>
  <c r="AX125" i="1"/>
  <c r="BA74" i="20"/>
  <c r="N92" i="20" l="1"/>
  <c r="N53" i="20"/>
  <c r="N65" i="20"/>
  <c r="N83" i="20"/>
  <c r="N55" i="20"/>
  <c r="M56" i="20" s="1"/>
  <c r="P52" i="20"/>
  <c r="O35" i="22"/>
  <c r="Q35" i="22" s="1"/>
  <c r="Q36" i="22"/>
  <c r="O37" i="22"/>
  <c r="Q37" i="22" s="1"/>
  <c r="AZ47" i="1"/>
  <c r="AY15" i="1"/>
  <c r="AY198" i="1" s="1"/>
  <c r="M128" i="1"/>
  <c r="O82" i="22"/>
  <c r="AY125" i="1"/>
  <c r="AX128" i="1"/>
  <c r="M63" i="9"/>
  <c r="N77" i="9"/>
  <c r="N76" i="9" s="1"/>
  <c r="N63" i="9"/>
  <c r="BA63" i="9" s="1"/>
  <c r="N56" i="20" l="1"/>
  <c r="BA56" i="20" s="1"/>
  <c r="AY56" i="20" s="1"/>
  <c r="AZ56" i="20" s="1"/>
  <c r="BA47" i="1"/>
  <c r="AZ15" i="1"/>
  <c r="AB97" i="21"/>
  <c r="AY63" i="9"/>
  <c r="Z97" i="21" s="1"/>
  <c r="AY128" i="1"/>
  <c r="AZ125" i="1"/>
  <c r="AZ63" i="9" l="1"/>
  <c r="AA97" i="21" s="1"/>
  <c r="AZ198" i="1"/>
  <c r="AZ128" i="1"/>
  <c r="BA125" i="1"/>
  <c r="BA15" i="1"/>
  <c r="BA198" i="1" s="1"/>
  <c r="N47" i="1"/>
  <c r="N15" i="1" l="1"/>
  <c r="N198" i="1" s="1"/>
  <c r="N125" i="1"/>
  <c r="BA128" i="1"/>
  <c r="N128" i="1" l="1"/>
  <c r="C1" i="12" l="1"/>
  <c r="D1" i="12"/>
  <c r="D2" i="12"/>
  <c r="C1" i="25"/>
  <c r="D1" i="25"/>
  <c r="D2" i="25"/>
  <c r="C1" i="15"/>
  <c r="D1" i="15"/>
  <c r="D2" i="15"/>
  <c r="G9" i="10"/>
  <c r="K9" i="10"/>
  <c r="L9" i="10"/>
  <c r="M9" i="10"/>
  <c r="N9" i="10"/>
  <c r="G10" i="10"/>
  <c r="K10" i="10"/>
  <c r="L10" i="10"/>
  <c r="M10" i="10"/>
  <c r="N10" i="10"/>
  <c r="G11" i="10"/>
  <c r="K11" i="10"/>
  <c r="L11" i="10"/>
  <c r="M11" i="10"/>
  <c r="N11" i="10"/>
  <c r="C1" i="3"/>
  <c r="D1" i="3"/>
  <c r="D2" i="3"/>
  <c r="I18" i="3"/>
  <c r="J18" i="3"/>
  <c r="K18" i="3"/>
  <c r="L18" i="3"/>
  <c r="M18" i="3"/>
  <c r="N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I19" i="3"/>
  <c r="J19" i="3"/>
  <c r="K19" i="3"/>
  <c r="L19" i="3"/>
  <c r="M19" i="3"/>
  <c r="N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I20" i="3"/>
  <c r="J20" i="3"/>
  <c r="K20" i="3"/>
  <c r="L20" i="3"/>
  <c r="M20" i="3"/>
  <c r="N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I22" i="3"/>
  <c r="J22" i="3"/>
  <c r="K22" i="3"/>
  <c r="L22" i="3"/>
  <c r="M22" i="3"/>
  <c r="N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I23" i="3"/>
  <c r="J23" i="3"/>
  <c r="K23" i="3"/>
  <c r="L23" i="3"/>
  <c r="M23" i="3"/>
  <c r="N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I25" i="3"/>
  <c r="J25" i="3"/>
  <c r="K25" i="3"/>
  <c r="L25" i="3"/>
  <c r="M25" i="3"/>
  <c r="N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I26" i="3"/>
  <c r="J26" i="3"/>
  <c r="K26" i="3"/>
  <c r="L26" i="3"/>
  <c r="M26" i="3"/>
  <c r="N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I28" i="3"/>
  <c r="J28" i="3"/>
  <c r="K28" i="3"/>
  <c r="L28" i="3"/>
  <c r="M28" i="3"/>
  <c r="N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I29" i="3"/>
  <c r="J29" i="3"/>
  <c r="K29" i="3"/>
  <c r="L29" i="3"/>
  <c r="M29" i="3"/>
  <c r="N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I30" i="3"/>
  <c r="J30" i="3"/>
  <c r="K30" i="3"/>
  <c r="L30" i="3"/>
  <c r="M30" i="3"/>
  <c r="N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I34" i="3"/>
  <c r="J34" i="3"/>
  <c r="K34" i="3"/>
  <c r="L34" i="3"/>
  <c r="M34" i="3"/>
  <c r="N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I37" i="3"/>
  <c r="J37" i="3"/>
  <c r="K37" i="3"/>
  <c r="L37" i="3"/>
  <c r="M37" i="3"/>
  <c r="N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I39" i="3"/>
  <c r="J39" i="3"/>
  <c r="K39" i="3"/>
  <c r="L39" i="3"/>
  <c r="M39" i="3"/>
  <c r="N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I41" i="3"/>
  <c r="J41" i="3"/>
  <c r="K41" i="3"/>
  <c r="L41" i="3"/>
  <c r="M41" i="3"/>
  <c r="N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I44" i="3"/>
  <c r="J44" i="3"/>
  <c r="K44" i="3"/>
  <c r="L44" i="3"/>
  <c r="M44" i="3"/>
  <c r="N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C1" i="8"/>
  <c r="D1" i="8"/>
  <c r="D2" i="8"/>
  <c r="C1" i="1"/>
  <c r="D1" i="1"/>
  <c r="D2" i="1"/>
  <c r="I17" i="1"/>
  <c r="J17" i="1"/>
  <c r="K17" i="1"/>
  <c r="L17" i="1"/>
  <c r="M17" i="1"/>
  <c r="N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I18" i="1"/>
  <c r="J18" i="1"/>
  <c r="K18" i="1"/>
  <c r="L18" i="1"/>
  <c r="M18" i="1"/>
  <c r="N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I19" i="1"/>
  <c r="J19" i="1"/>
  <c r="K19" i="1"/>
  <c r="L19" i="1"/>
  <c r="M19" i="1"/>
  <c r="N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I20" i="1"/>
  <c r="J20" i="1"/>
  <c r="K20" i="1"/>
  <c r="L20" i="1"/>
  <c r="M20" i="1"/>
  <c r="N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I22" i="1"/>
  <c r="J22" i="1"/>
  <c r="K22" i="1"/>
  <c r="L22" i="1"/>
  <c r="M22" i="1"/>
  <c r="N22" i="1"/>
  <c r="I23" i="1"/>
  <c r="J23" i="1"/>
  <c r="K23" i="1"/>
  <c r="L23" i="1"/>
  <c r="M23" i="1"/>
  <c r="N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I24" i="1"/>
  <c r="J24" i="1"/>
  <c r="K24" i="1"/>
  <c r="L24" i="1"/>
  <c r="M24" i="1"/>
  <c r="N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I34" i="1"/>
  <c r="J34" i="1"/>
  <c r="K34" i="1"/>
  <c r="L34" i="1"/>
  <c r="M34" i="1"/>
  <c r="N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I72" i="1"/>
  <c r="J72" i="1"/>
  <c r="K72" i="1"/>
  <c r="L72" i="1"/>
  <c r="M72" i="1"/>
  <c r="N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I91" i="1"/>
  <c r="J91" i="1"/>
  <c r="K91" i="1"/>
  <c r="L91" i="1"/>
  <c r="M91" i="1"/>
  <c r="N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I92" i="1"/>
  <c r="J92" i="1"/>
  <c r="K92" i="1"/>
  <c r="L92" i="1"/>
  <c r="M92" i="1"/>
  <c r="N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I94" i="1"/>
  <c r="J94" i="1"/>
  <c r="K94" i="1"/>
  <c r="L94" i="1"/>
  <c r="M94" i="1"/>
  <c r="N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J96" i="1"/>
  <c r="K96" i="1"/>
  <c r="L96" i="1"/>
  <c r="M96" i="1"/>
  <c r="N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I97" i="1"/>
  <c r="J97" i="1"/>
  <c r="K97" i="1"/>
  <c r="L97" i="1"/>
  <c r="M97" i="1"/>
  <c r="N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I98" i="1"/>
  <c r="J98" i="1"/>
  <c r="K98" i="1"/>
  <c r="L98" i="1"/>
  <c r="M98" i="1"/>
  <c r="N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I101" i="1"/>
  <c r="J101" i="1"/>
  <c r="K101" i="1"/>
  <c r="L101" i="1"/>
  <c r="M101" i="1"/>
  <c r="N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I111" i="1"/>
  <c r="J111" i="1"/>
  <c r="K111" i="1"/>
  <c r="L111" i="1"/>
  <c r="M111" i="1"/>
  <c r="N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I130" i="1"/>
  <c r="J130" i="1"/>
  <c r="K130" i="1"/>
  <c r="L130" i="1"/>
  <c r="M130" i="1"/>
  <c r="N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I147" i="1"/>
  <c r="J147" i="1"/>
  <c r="K147" i="1"/>
  <c r="L147" i="1"/>
  <c r="M147" i="1"/>
  <c r="N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I152" i="1"/>
  <c r="J152" i="1"/>
  <c r="K152" i="1"/>
  <c r="L152" i="1"/>
  <c r="M152" i="1"/>
  <c r="N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I154" i="1"/>
  <c r="J154" i="1"/>
  <c r="K154" i="1"/>
  <c r="L154" i="1"/>
  <c r="M154" i="1"/>
  <c r="N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I160" i="1"/>
  <c r="J160" i="1"/>
  <c r="K160" i="1"/>
  <c r="L160" i="1"/>
  <c r="M160" i="1"/>
  <c r="N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I162" i="1"/>
  <c r="J162" i="1"/>
  <c r="K162" i="1"/>
  <c r="L162" i="1"/>
  <c r="M162" i="1"/>
  <c r="N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C164" i="1"/>
  <c r="I164" i="1"/>
  <c r="J164" i="1"/>
  <c r="K164" i="1"/>
  <c r="L164" i="1"/>
  <c r="M164" i="1"/>
  <c r="N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I167" i="1"/>
  <c r="J167" i="1"/>
  <c r="K167" i="1"/>
  <c r="L167" i="1"/>
  <c r="M167" i="1"/>
  <c r="N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I188" i="1"/>
  <c r="J188" i="1"/>
  <c r="K188" i="1"/>
  <c r="L188" i="1"/>
  <c r="M188" i="1"/>
  <c r="N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C1" i="4"/>
  <c r="D1" i="4"/>
  <c r="D2" i="4"/>
  <c r="C1" i="5"/>
  <c r="D1" i="5"/>
  <c r="D2" i="5"/>
  <c r="C1" i="26"/>
  <c r="D1" i="26"/>
  <c r="D2" i="26"/>
  <c r="C1" i="18"/>
  <c r="D1" i="18"/>
  <c r="D2" i="18"/>
  <c r="C1" i="13"/>
  <c r="D1" i="13"/>
  <c r="D2" i="13"/>
  <c r="C1" i="16"/>
  <c r="D1" i="16"/>
  <c r="D2" i="16"/>
  <c r="C1" i="9"/>
  <c r="D1" i="9"/>
  <c r="D2" i="9"/>
  <c r="C1" i="20"/>
  <c r="D1" i="20"/>
  <c r="D2" i="20"/>
  <c r="C1" i="14"/>
  <c r="D1" i="14"/>
  <c r="D2" i="14"/>
  <c r="D1" i="22"/>
  <c r="I1" i="22"/>
  <c r="I2" i="22"/>
  <c r="J40" i="22"/>
  <c r="K40" i="22"/>
  <c r="L40" i="22"/>
  <c r="M40" i="22"/>
  <c r="N40" i="22"/>
  <c r="O40" i="22"/>
  <c r="J42" i="22"/>
  <c r="K42" i="22"/>
  <c r="L42" i="22"/>
  <c r="M42" i="22"/>
  <c r="N42" i="22"/>
  <c r="O42" i="22"/>
  <c r="J43" i="22"/>
  <c r="K43" i="22"/>
  <c r="L43" i="22"/>
  <c r="M43" i="22"/>
  <c r="N43" i="22"/>
  <c r="O43" i="22"/>
  <c r="J46" i="22"/>
  <c r="K46" i="22"/>
  <c r="L46" i="22"/>
  <c r="M46" i="22"/>
  <c r="N46" i="22"/>
  <c r="O46" i="22"/>
  <c r="J47" i="22"/>
  <c r="K47" i="22"/>
  <c r="L47" i="22"/>
  <c r="M47" i="22"/>
  <c r="N47" i="22"/>
  <c r="O47" i="22"/>
  <c r="J48" i="22"/>
  <c r="K48" i="22"/>
  <c r="L48" i="22"/>
  <c r="M48" i="22"/>
  <c r="N48" i="22"/>
  <c r="O48" i="22"/>
  <c r="J49" i="22"/>
  <c r="K49" i="22"/>
  <c r="L49" i="22"/>
  <c r="M49" i="22"/>
  <c r="N49" i="22"/>
  <c r="O49" i="22"/>
  <c r="J50" i="22"/>
  <c r="K50" i="22"/>
  <c r="L50" i="22"/>
  <c r="M50" i="22"/>
  <c r="N50" i="22"/>
  <c r="O50" i="22"/>
  <c r="J55" i="22"/>
  <c r="K55" i="22"/>
  <c r="L55" i="22"/>
  <c r="M55" i="22"/>
  <c r="N55" i="22"/>
  <c r="O55" i="22"/>
  <c r="J61" i="22"/>
  <c r="K61" i="22"/>
  <c r="L61" i="22"/>
  <c r="M61" i="22"/>
  <c r="N61" i="22"/>
  <c r="O61" i="22"/>
  <c r="J62" i="22"/>
  <c r="K62" i="22"/>
  <c r="L62" i="22"/>
  <c r="M62" i="22"/>
  <c r="N62" i="22"/>
  <c r="O62" i="22"/>
  <c r="J65" i="22"/>
  <c r="K65" i="22"/>
  <c r="L65" i="22"/>
  <c r="M65" i="22"/>
  <c r="N65" i="22"/>
  <c r="O65" i="22"/>
  <c r="J66" i="22"/>
  <c r="K66" i="22"/>
  <c r="L66" i="22"/>
  <c r="M66" i="22"/>
  <c r="N66" i="22"/>
  <c r="O66" i="22"/>
  <c r="J67" i="22"/>
  <c r="K67" i="22"/>
  <c r="L67" i="22"/>
  <c r="M67" i="22"/>
  <c r="N67" i="22"/>
  <c r="O67" i="22"/>
  <c r="J69" i="22"/>
  <c r="K69" i="22"/>
  <c r="L69" i="22"/>
  <c r="M69" i="22"/>
  <c r="N69" i="22"/>
  <c r="O69" i="22"/>
  <c r="J71" i="22"/>
  <c r="K71" i="22"/>
  <c r="L71" i="22"/>
  <c r="M71" i="22"/>
  <c r="N71" i="22"/>
  <c r="O71" i="22"/>
  <c r="J72" i="22"/>
  <c r="K72" i="22"/>
  <c r="L72" i="22"/>
  <c r="M72" i="22"/>
  <c r="N72" i="22"/>
  <c r="O72" i="22"/>
  <c r="O75" i="22"/>
  <c r="J76" i="22"/>
  <c r="O76" i="22"/>
  <c r="J79" i="22"/>
  <c r="K79" i="22"/>
  <c r="L79" i="22"/>
  <c r="M79" i="22"/>
  <c r="N79" i="22"/>
  <c r="O79" i="22"/>
  <c r="J83" i="22"/>
  <c r="K83" i="22"/>
  <c r="L83" i="22"/>
  <c r="M83" i="22"/>
  <c r="N83" i="22"/>
  <c r="O83" i="22"/>
  <c r="J84" i="22"/>
  <c r="K84" i="22"/>
  <c r="L84" i="22"/>
  <c r="M84" i="22"/>
  <c r="N84" i="22"/>
  <c r="O84" i="22"/>
  <c r="J87" i="22"/>
  <c r="K87" i="22"/>
  <c r="L87" i="22"/>
  <c r="M87" i="22"/>
  <c r="N87" i="22"/>
  <c r="O87" i="22"/>
  <c r="J88" i="22"/>
  <c r="K88" i="22"/>
  <c r="L88" i="22"/>
  <c r="M88" i="22"/>
  <c r="N88" i="22"/>
  <c r="O88" i="22"/>
  <c r="C1" i="21"/>
  <c r="D1" i="21"/>
  <c r="D2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F26" i="21"/>
  <c r="G26" i="21"/>
  <c r="H26" i="21"/>
  <c r="I26" i="21"/>
  <c r="J26" i="21"/>
  <c r="K26" i="21"/>
  <c r="L26" i="21"/>
  <c r="M26" i="21"/>
  <c r="N26" i="21"/>
  <c r="O26" i="21"/>
  <c r="P26" i="21"/>
  <c r="Q26" i="21"/>
  <c r="R26" i="21"/>
  <c r="S26" i="21"/>
  <c r="T26" i="21"/>
  <c r="U26" i="21"/>
  <c r="V26" i="21"/>
  <c r="W26" i="21"/>
  <c r="X26" i="21"/>
  <c r="Y26" i="21"/>
  <c r="Z26" i="21"/>
  <c r="AA26" i="21"/>
  <c r="AB26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F31" i="21"/>
  <c r="G31" i="21"/>
  <c r="H31" i="21"/>
  <c r="I31" i="21"/>
  <c r="J31" i="21"/>
  <c r="K31" i="21"/>
  <c r="L31" i="21"/>
  <c r="M31" i="21"/>
  <c r="N31" i="21"/>
  <c r="O31" i="21"/>
  <c r="P31" i="21"/>
  <c r="Q31" i="21"/>
  <c r="R31" i="21"/>
  <c r="S31" i="21"/>
  <c r="T31" i="21"/>
  <c r="U31" i="21"/>
  <c r="V31" i="21"/>
  <c r="W31" i="21"/>
  <c r="X31" i="21"/>
  <c r="Y31" i="21"/>
  <c r="Z31" i="21"/>
  <c r="AA31" i="21"/>
  <c r="AB31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D37" i="21"/>
  <c r="G37" i="21"/>
  <c r="H37" i="21"/>
  <c r="G38" i="21"/>
  <c r="H38" i="21"/>
  <c r="D40" i="21"/>
  <c r="D42" i="21"/>
  <c r="D43" i="21"/>
  <c r="D44" i="21"/>
  <c r="D45" i="21"/>
  <c r="F48" i="21"/>
  <c r="G48" i="21"/>
  <c r="H48" i="21"/>
  <c r="I48" i="21"/>
  <c r="J48" i="21"/>
  <c r="K48" i="21"/>
  <c r="L48" i="21"/>
  <c r="M48" i="21"/>
  <c r="N48" i="21"/>
  <c r="O48" i="21"/>
  <c r="P48" i="21"/>
  <c r="Q48" i="21"/>
  <c r="R48" i="21"/>
  <c r="S48" i="21"/>
  <c r="T48" i="21"/>
  <c r="U48" i="21"/>
  <c r="V48" i="21"/>
  <c r="W48" i="21"/>
  <c r="X48" i="21"/>
  <c r="Y48" i="21"/>
  <c r="Z48" i="21"/>
  <c r="AA48" i="21"/>
  <c r="AB48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F50" i="21"/>
  <c r="G50" i="21"/>
  <c r="H50" i="21"/>
  <c r="I50" i="21"/>
  <c r="J50" i="21"/>
  <c r="K50" i="21"/>
  <c r="L50" i="21"/>
  <c r="M50" i="21"/>
  <c r="N50" i="21"/>
  <c r="O50" i="21"/>
  <c r="P50" i="21"/>
  <c r="Q50" i="21"/>
  <c r="R50" i="21"/>
  <c r="S50" i="21"/>
  <c r="T50" i="21"/>
  <c r="U50" i="21"/>
  <c r="V50" i="21"/>
  <c r="W50" i="21"/>
  <c r="X50" i="21"/>
  <c r="Y50" i="21"/>
  <c r="Z50" i="21"/>
  <c r="AA50" i="21"/>
  <c r="AB50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E52" i="21"/>
  <c r="F52" i="21"/>
  <c r="G52" i="21"/>
  <c r="H52" i="21"/>
  <c r="I52" i="21"/>
  <c r="J52" i="21"/>
  <c r="K52" i="21"/>
  <c r="L52" i="21"/>
  <c r="M52" i="21"/>
  <c r="N52" i="21"/>
  <c r="O52" i="21"/>
  <c r="P52" i="21"/>
  <c r="Q52" i="21"/>
  <c r="R52" i="21"/>
  <c r="S52" i="21"/>
  <c r="T52" i="21"/>
  <c r="U52" i="21"/>
  <c r="V52" i="21"/>
  <c r="W52" i="21"/>
  <c r="X52" i="21"/>
  <c r="Y52" i="21"/>
  <c r="Z52" i="21"/>
  <c r="AA52" i="21"/>
  <c r="AB52" i="21"/>
  <c r="F53" i="21"/>
  <c r="G53" i="21"/>
  <c r="H53" i="21"/>
  <c r="I53" i="21"/>
  <c r="J53" i="21"/>
  <c r="K53" i="21"/>
  <c r="L53" i="21"/>
  <c r="M53" i="21"/>
  <c r="N53" i="21"/>
  <c r="O53" i="21"/>
  <c r="P53" i="21"/>
  <c r="Q53" i="21"/>
  <c r="R53" i="21"/>
  <c r="S53" i="21"/>
  <c r="T53" i="21"/>
  <c r="U53" i="21"/>
  <c r="V53" i="21"/>
  <c r="W53" i="21"/>
  <c r="X53" i="21"/>
  <c r="Y53" i="21"/>
  <c r="Z53" i="21"/>
  <c r="AA53" i="21"/>
  <c r="AB53" i="21"/>
  <c r="D57" i="21"/>
  <c r="G57" i="21"/>
  <c r="H57" i="21"/>
  <c r="G58" i="21"/>
  <c r="H58" i="21"/>
  <c r="D60" i="21"/>
  <c r="D62" i="21"/>
  <c r="D63" i="21"/>
  <c r="D64" i="21"/>
  <c r="G68" i="21"/>
  <c r="H68" i="21"/>
  <c r="I68" i="21"/>
  <c r="J68" i="21"/>
  <c r="K68" i="21"/>
  <c r="L68" i="21"/>
  <c r="M68" i="21"/>
  <c r="N68" i="21"/>
  <c r="O68" i="21"/>
  <c r="P68" i="21"/>
  <c r="Q68" i="21"/>
  <c r="R68" i="21"/>
  <c r="S68" i="21"/>
  <c r="T68" i="21"/>
  <c r="U68" i="21"/>
  <c r="V68" i="21"/>
  <c r="W68" i="21"/>
  <c r="X68" i="21"/>
  <c r="Y68" i="21"/>
  <c r="Z68" i="21"/>
  <c r="AA68" i="21"/>
  <c r="AB68" i="21"/>
  <c r="G69" i="21"/>
  <c r="H69" i="21"/>
  <c r="I69" i="21"/>
  <c r="J69" i="21"/>
  <c r="K69" i="21"/>
  <c r="L69" i="21"/>
  <c r="M69" i="21"/>
  <c r="N69" i="21"/>
  <c r="O69" i="21"/>
  <c r="P69" i="21"/>
  <c r="Q69" i="21"/>
  <c r="R69" i="21"/>
  <c r="S69" i="21"/>
  <c r="T69" i="21"/>
  <c r="U69" i="21"/>
  <c r="V69" i="21"/>
  <c r="W69" i="21"/>
  <c r="X69" i="21"/>
  <c r="Y69" i="21"/>
  <c r="Z69" i="21"/>
  <c r="AA69" i="21"/>
  <c r="AB69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D73" i="21"/>
  <c r="D74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D78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F88" i="21"/>
  <c r="G88" i="21"/>
  <c r="H88" i="21"/>
  <c r="I88" i="21"/>
  <c r="J88" i="21"/>
  <c r="K88" i="21"/>
  <c r="L88" i="21"/>
  <c r="M88" i="21"/>
  <c r="N88" i="21"/>
  <c r="O88" i="21"/>
  <c r="P88" i="21"/>
  <c r="Q88" i="21"/>
  <c r="R88" i="21"/>
  <c r="S88" i="21"/>
  <c r="T88" i="21"/>
  <c r="U88" i="21"/>
  <c r="V88" i="21"/>
  <c r="W88" i="21"/>
  <c r="X88" i="21"/>
  <c r="Y88" i="21"/>
  <c r="Z88" i="21"/>
  <c r="AA88" i="21"/>
  <c r="AB88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F90" i="21"/>
  <c r="G90" i="21"/>
  <c r="H90" i="21"/>
  <c r="I90" i="21"/>
  <c r="J90" i="21"/>
  <c r="K90" i="21"/>
  <c r="L90" i="21"/>
  <c r="M90" i="21"/>
  <c r="N90" i="21"/>
  <c r="O90" i="21"/>
  <c r="P90" i="21"/>
  <c r="Q90" i="21"/>
  <c r="R90" i="21"/>
  <c r="S90" i="21"/>
  <c r="T90" i="21"/>
  <c r="U90" i="21"/>
  <c r="V90" i="21"/>
  <c r="W90" i="21"/>
  <c r="X90" i="21"/>
  <c r="Y90" i="21"/>
  <c r="Z90" i="21"/>
  <c r="AA90" i="21"/>
  <c r="AB90" i="21"/>
  <c r="D91" i="21"/>
  <c r="D92" i="21"/>
  <c r="D93" i="21"/>
  <c r="F99" i="21"/>
  <c r="G99" i="21"/>
  <c r="H99" i="21"/>
  <c r="I99" i="21"/>
  <c r="J99" i="21"/>
  <c r="K99" i="21"/>
  <c r="L99" i="21"/>
  <c r="M99" i="21"/>
  <c r="N99" i="21"/>
  <c r="O99" i="21"/>
  <c r="P99" i="21"/>
  <c r="Q99" i="21"/>
  <c r="R99" i="21"/>
  <c r="S99" i="21"/>
  <c r="T99" i="21"/>
  <c r="U99" i="21"/>
  <c r="V99" i="21"/>
  <c r="W99" i="21"/>
  <c r="X99" i="21"/>
  <c r="Y99" i="21"/>
  <c r="Z99" i="21"/>
  <c r="AA99" i="21"/>
  <c r="AB99" i="21"/>
  <c r="D100" i="21"/>
  <c r="F100" i="21"/>
  <c r="G100" i="21"/>
  <c r="H100" i="21"/>
  <c r="I100" i="21"/>
  <c r="J100" i="21"/>
  <c r="K100" i="21"/>
  <c r="L100" i="21"/>
  <c r="M100" i="21"/>
  <c r="N100" i="21"/>
  <c r="O100" i="21"/>
  <c r="P100" i="21"/>
  <c r="Q100" i="21"/>
  <c r="R100" i="21"/>
  <c r="S100" i="21"/>
  <c r="T100" i="21"/>
  <c r="U100" i="21"/>
  <c r="V100" i="21"/>
  <c r="W100" i="21"/>
  <c r="X100" i="21"/>
  <c r="Y100" i="21"/>
  <c r="Z100" i="21"/>
  <c r="AA100" i="21"/>
  <c r="AB100" i="21"/>
  <c r="D101" i="21"/>
  <c r="F101" i="21"/>
  <c r="G101" i="21"/>
  <c r="H101" i="21"/>
  <c r="I101" i="21"/>
  <c r="J101" i="21"/>
  <c r="K101" i="21"/>
  <c r="L101" i="21"/>
  <c r="M101" i="21"/>
  <c r="N101" i="21"/>
  <c r="O101" i="21"/>
  <c r="P101" i="21"/>
  <c r="Q101" i="21"/>
  <c r="R101" i="21"/>
  <c r="S101" i="21"/>
  <c r="T101" i="21"/>
  <c r="U101" i="21"/>
  <c r="V101" i="21"/>
  <c r="W101" i="21"/>
  <c r="X101" i="21"/>
  <c r="Y101" i="21"/>
  <c r="Z101" i="21"/>
  <c r="AA101" i="21"/>
  <c r="AB101" i="21"/>
  <c r="D103" i="21"/>
  <c r="F103" i="21"/>
  <c r="G103" i="21"/>
  <c r="H103" i="21"/>
  <c r="I103" i="21"/>
  <c r="J103" i="21"/>
  <c r="K103" i="21"/>
  <c r="L103" i="21"/>
  <c r="M103" i="21"/>
  <c r="N103" i="21"/>
  <c r="O103" i="21"/>
  <c r="P103" i="21"/>
  <c r="Q103" i="21"/>
  <c r="R103" i="21"/>
  <c r="S103" i="21"/>
  <c r="T103" i="21"/>
  <c r="U103" i="21"/>
  <c r="V103" i="21"/>
  <c r="W103" i="21"/>
  <c r="X103" i="21"/>
  <c r="Y103" i="21"/>
  <c r="Z103" i="21"/>
  <c r="AA103" i="21"/>
  <c r="AB103" i="21"/>
  <c r="F104" i="21"/>
  <c r="G104" i="21"/>
  <c r="H104" i="21"/>
  <c r="I104" i="21"/>
  <c r="J104" i="21"/>
  <c r="K104" i="21"/>
  <c r="L104" i="21"/>
  <c r="M104" i="21"/>
  <c r="N104" i="21"/>
  <c r="O104" i="21"/>
  <c r="P104" i="21"/>
  <c r="Q104" i="21"/>
  <c r="R104" i="21"/>
  <c r="S104" i="21"/>
  <c r="T104" i="21"/>
  <c r="U104" i="21"/>
  <c r="V104" i="21"/>
  <c r="W104" i="21"/>
  <c r="X104" i="21"/>
  <c r="Y104" i="21"/>
  <c r="Z104" i="21"/>
  <c r="AA104" i="21"/>
  <c r="AB104" i="21"/>
  <c r="F105" i="21"/>
  <c r="G105" i="21"/>
  <c r="H105" i="21"/>
  <c r="I105" i="21"/>
  <c r="J105" i="21"/>
  <c r="K105" i="21"/>
  <c r="L105" i="21"/>
  <c r="M105" i="21"/>
  <c r="N105" i="21"/>
  <c r="O105" i="21"/>
  <c r="P105" i="21"/>
  <c r="Q105" i="21"/>
  <c r="R105" i="21"/>
  <c r="S105" i="21"/>
  <c r="T105" i="21"/>
  <c r="U105" i="21"/>
  <c r="V105" i="21"/>
  <c r="W105" i="21"/>
  <c r="X105" i="21"/>
  <c r="Y105" i="21"/>
  <c r="Z105" i="21"/>
  <c r="AA105" i="21"/>
  <c r="AB105" i="21"/>
  <c r="D110" i="21"/>
  <c r="F110" i="21"/>
  <c r="G110" i="21"/>
  <c r="H110" i="21"/>
  <c r="I110" i="21"/>
  <c r="J110" i="21"/>
  <c r="K110" i="21"/>
  <c r="L110" i="21"/>
  <c r="M110" i="21"/>
  <c r="N110" i="21"/>
  <c r="O110" i="21"/>
  <c r="P110" i="21"/>
  <c r="Q110" i="21"/>
  <c r="R110" i="21"/>
  <c r="S110" i="21"/>
  <c r="T110" i="21"/>
  <c r="U110" i="21"/>
  <c r="V110" i="21"/>
  <c r="W110" i="21"/>
  <c r="X110" i="21"/>
  <c r="Y110" i="21"/>
  <c r="Z110" i="21"/>
  <c r="AA110" i="21"/>
  <c r="AB110" i="21"/>
  <c r="D111" i="21"/>
  <c r="F111" i="21"/>
  <c r="G111" i="21"/>
  <c r="H111" i="21"/>
  <c r="I111" i="21"/>
  <c r="J111" i="21"/>
  <c r="K111" i="21"/>
  <c r="L111" i="21"/>
  <c r="M111" i="21"/>
  <c r="N111" i="21"/>
  <c r="O111" i="21"/>
  <c r="P111" i="21"/>
  <c r="Q111" i="21"/>
  <c r="R111" i="21"/>
  <c r="S111" i="21"/>
  <c r="T111" i="21"/>
  <c r="U111" i="21"/>
  <c r="V111" i="21"/>
  <c r="W111" i="21"/>
  <c r="X111" i="21"/>
  <c r="Y111" i="21"/>
  <c r="Z111" i="21"/>
  <c r="AA111" i="21"/>
  <c r="AB111" i="21"/>
  <c r="D113" i="21"/>
  <c r="F113" i="21"/>
  <c r="G113" i="21"/>
  <c r="H113" i="21"/>
  <c r="I113" i="21"/>
  <c r="J113" i="21"/>
  <c r="K113" i="21"/>
  <c r="L113" i="21"/>
  <c r="M113" i="21"/>
  <c r="N113" i="21"/>
  <c r="O113" i="21"/>
  <c r="P113" i="21"/>
  <c r="Q113" i="21"/>
  <c r="R113" i="21"/>
  <c r="S113" i="21"/>
  <c r="T113" i="21"/>
  <c r="U113" i="21"/>
  <c r="V113" i="21"/>
  <c r="W113" i="21"/>
  <c r="X113" i="21"/>
  <c r="Y113" i="21"/>
  <c r="Z113" i="21"/>
  <c r="AA113" i="21"/>
  <c r="AB113" i="21"/>
  <c r="F114" i="21"/>
  <c r="G114" i="21"/>
  <c r="H114" i="21"/>
  <c r="I114" i="21"/>
  <c r="J114" i="21"/>
  <c r="K114" i="21"/>
  <c r="L114" i="21"/>
  <c r="M114" i="21"/>
  <c r="N114" i="21"/>
  <c r="O114" i="21"/>
  <c r="P114" i="21"/>
  <c r="Q114" i="21"/>
  <c r="R114" i="21"/>
  <c r="S114" i="21"/>
  <c r="T114" i="21"/>
  <c r="U114" i="21"/>
  <c r="V114" i="21"/>
  <c r="W114" i="21"/>
  <c r="X114" i="21"/>
  <c r="Y114" i="21"/>
  <c r="Z114" i="21"/>
  <c r="AA114" i="21"/>
  <c r="AB114" i="21"/>
  <c r="D117" i="21"/>
  <c r="F117" i="21"/>
  <c r="G117" i="21"/>
  <c r="H117" i="21"/>
  <c r="I117" i="21"/>
  <c r="J117" i="21"/>
  <c r="K117" i="21"/>
  <c r="L117" i="21"/>
  <c r="M117" i="21"/>
  <c r="N117" i="21"/>
  <c r="O117" i="21"/>
  <c r="P117" i="21"/>
  <c r="Q117" i="21"/>
  <c r="R117" i="21"/>
  <c r="S117" i="21"/>
  <c r="T117" i="21"/>
  <c r="U117" i="21"/>
  <c r="V117" i="21"/>
  <c r="W117" i="21"/>
  <c r="X117" i="21"/>
  <c r="Y117" i="21"/>
  <c r="Z117" i="21"/>
  <c r="AA117" i="21"/>
  <c r="AB117" i="21"/>
  <c r="D118" i="21"/>
  <c r="F118" i="21"/>
  <c r="G118" i="21"/>
  <c r="H118" i="21"/>
  <c r="I118" i="21"/>
  <c r="J118" i="21"/>
  <c r="K118" i="21"/>
  <c r="L118" i="21"/>
  <c r="M118" i="21"/>
  <c r="N118" i="21"/>
  <c r="O118" i="21"/>
  <c r="P118" i="21"/>
  <c r="Q118" i="21"/>
  <c r="R118" i="21"/>
  <c r="S118" i="21"/>
  <c r="T118" i="21"/>
  <c r="U118" i="21"/>
  <c r="V118" i="21"/>
  <c r="W118" i="21"/>
  <c r="X118" i="21"/>
  <c r="Y118" i="21"/>
  <c r="Z118" i="21"/>
  <c r="AA118" i="21"/>
  <c r="AB118" i="21"/>
  <c r="D119" i="21"/>
  <c r="F119" i="21"/>
  <c r="G119" i="21"/>
  <c r="H119" i="21"/>
  <c r="I119" i="21"/>
  <c r="J119" i="21"/>
  <c r="K119" i="21"/>
  <c r="L119" i="21"/>
  <c r="M119" i="21"/>
  <c r="N119" i="21"/>
  <c r="O119" i="21"/>
  <c r="P119" i="21"/>
  <c r="Q119" i="21"/>
  <c r="R119" i="21"/>
  <c r="S119" i="21"/>
  <c r="T119" i="21"/>
  <c r="U119" i="21"/>
  <c r="V119" i="21"/>
  <c r="W119" i="21"/>
  <c r="X119" i="21"/>
  <c r="Y119" i="21"/>
  <c r="Z119" i="21"/>
  <c r="AA119" i="21"/>
  <c r="AB119" i="21"/>
  <c r="D121" i="21"/>
  <c r="F121" i="21"/>
  <c r="G121" i="21"/>
  <c r="H121" i="21"/>
  <c r="I121" i="21"/>
  <c r="J121" i="21"/>
  <c r="K121" i="21"/>
  <c r="L121" i="21"/>
  <c r="M121" i="21"/>
  <c r="N121" i="21"/>
  <c r="O121" i="21"/>
  <c r="P121" i="21"/>
  <c r="Q121" i="21"/>
  <c r="R121" i="21"/>
  <c r="S121" i="21"/>
  <c r="T121" i="21"/>
  <c r="U121" i="21"/>
  <c r="V121" i="21"/>
  <c r="W121" i="21"/>
  <c r="X121" i="21"/>
  <c r="Y121" i="21"/>
  <c r="Z121" i="21"/>
  <c r="AA121" i="21"/>
  <c r="AB121" i="21"/>
</calcChain>
</file>

<file path=xl/sharedStrings.xml><?xml version="1.0" encoding="utf-8"?>
<sst xmlns="http://schemas.openxmlformats.org/spreadsheetml/2006/main" count="3613" uniqueCount="652">
  <si>
    <t>Year</t>
  </si>
  <si>
    <t>FY December 31</t>
  </si>
  <si>
    <t>Start Date</t>
  </si>
  <si>
    <t>End Date</t>
  </si>
  <si>
    <t>Adjusted EBITDA</t>
  </si>
  <si>
    <t>Volumes</t>
  </si>
  <si>
    <t>North Corridor</t>
  </si>
  <si>
    <t>South Corridor</t>
  </si>
  <si>
    <t>Costal Navigation</t>
  </si>
  <si>
    <t>Salt</t>
  </si>
  <si>
    <t>Santos Terminal</t>
  </si>
  <si>
    <t>Grains</t>
  </si>
  <si>
    <t>Fertilizers</t>
  </si>
  <si>
    <t>Iron Ore</t>
  </si>
  <si>
    <t>Others</t>
  </si>
  <si>
    <t>Bauxite</t>
  </si>
  <si>
    <t>Volumes (kt)</t>
  </si>
  <si>
    <t>Total Volumes</t>
  </si>
  <si>
    <t>Income Statement</t>
  </si>
  <si>
    <t>Net operating revenue</t>
  </si>
  <si>
    <t>Costs of service</t>
  </si>
  <si>
    <t>Gross margin</t>
  </si>
  <si>
    <t>General and administrative</t>
  </si>
  <si>
    <t>Provision for credit risk</t>
  </si>
  <si>
    <t>Equity in earnings</t>
  </si>
  <si>
    <t>Other revenues / (expenses)</t>
  </si>
  <si>
    <t>Interest income</t>
  </si>
  <si>
    <t>Interest expenses</t>
  </si>
  <si>
    <t>Current taxes</t>
  </si>
  <si>
    <t>Deferred taxes</t>
  </si>
  <si>
    <t>Net income</t>
  </si>
  <si>
    <t>EBT</t>
  </si>
  <si>
    <t>EPS</t>
  </si>
  <si>
    <t>Statement of Cash Flows</t>
  </si>
  <si>
    <t>Net income / (loss)</t>
  </si>
  <si>
    <t>Provisions for bonuses</t>
  </si>
  <si>
    <t>Loss on derivative financial instruments</t>
  </si>
  <si>
    <t>Current and deferred IR and CS</t>
  </si>
  <si>
    <t>Adjustment of present value of lease and concession</t>
  </si>
  <si>
    <t>(Constitution) Reversal of the contingency provision</t>
  </si>
  <si>
    <t>Interest incurred on loans</t>
  </si>
  <si>
    <t>Reversal of borrowing costs</t>
  </si>
  <si>
    <t>Monetary and foreign exchange adjustment without debt</t>
  </si>
  <si>
    <t>Appropriate interest - leasing</t>
  </si>
  <si>
    <t>Stock option plan</t>
  </si>
  <si>
    <t>Income from financial investments</t>
  </si>
  <si>
    <t>Write-offs of PP&amp;E and intangible assets</t>
  </si>
  <si>
    <t>Depreciation and amortization</t>
  </si>
  <si>
    <t>Amortization of the right of use</t>
  </si>
  <si>
    <t>Realized hedge revenue</t>
  </si>
  <si>
    <t>Other adjustments</t>
  </si>
  <si>
    <t>(Increase) reduction in operating assets</t>
  </si>
  <si>
    <t>Accounts receivable</t>
  </si>
  <si>
    <t>Inventory</t>
  </si>
  <si>
    <t>Taxes to be recovered</t>
  </si>
  <si>
    <t>Advances to suppliers</t>
  </si>
  <si>
    <t>Prepayments</t>
  </si>
  <si>
    <t>Judicial deposits</t>
  </si>
  <si>
    <t>Guarantees and Security Deposits</t>
  </si>
  <si>
    <t>Other credits</t>
  </si>
  <si>
    <t>Accounts payables</t>
  </si>
  <si>
    <t>Payment of risk drawn</t>
  </si>
  <si>
    <t>Social and labor obligations</t>
  </si>
  <si>
    <t>Tax liabilities</t>
  </si>
  <si>
    <t>Advances from customers</t>
  </si>
  <si>
    <t>Other bills to pay</t>
  </si>
  <si>
    <t>Payment of interest on loans and financing</t>
  </si>
  <si>
    <t>Income tax and social contribution paid</t>
  </si>
  <si>
    <t>Acquisition of intangible assets</t>
  </si>
  <si>
    <t>Securities (redemptions)</t>
  </si>
  <si>
    <t>Net cash generated by investment activities</t>
  </si>
  <si>
    <t>Net cash generated by operating activities</t>
  </si>
  <si>
    <t>CFF</t>
  </si>
  <si>
    <t>CFI</t>
  </si>
  <si>
    <t>CFO</t>
  </si>
  <si>
    <t>x</t>
  </si>
  <si>
    <t>(Increase) reduction in operating liabilities</t>
  </si>
  <si>
    <t>Capital contribution from shareholders</t>
  </si>
  <si>
    <t>Concession lease</t>
  </si>
  <si>
    <t>Amortization of principal - loans</t>
  </si>
  <si>
    <t>Net cash generated by financing activities</t>
  </si>
  <si>
    <t xml:space="preserve">Effects of exchange rate changes on cash </t>
  </si>
  <si>
    <t>Increase / (decrease) in cash &amp; equivalents</t>
  </si>
  <si>
    <t>Change in cash</t>
  </si>
  <si>
    <t>Cash BOP</t>
  </si>
  <si>
    <t>Cash EOP</t>
  </si>
  <si>
    <t>Balance Sheet</t>
  </si>
  <si>
    <t>Assets</t>
  </si>
  <si>
    <t>Total current assets</t>
  </si>
  <si>
    <t>Total non-current assets</t>
  </si>
  <si>
    <t>Total Assets</t>
  </si>
  <si>
    <t>Liabilities &amp; Owners Equity</t>
  </si>
  <si>
    <t>Total current liabilities</t>
  </si>
  <si>
    <t>Total non-current liabilities</t>
  </si>
  <si>
    <t>Total equity</t>
  </si>
  <si>
    <t>Total liabilities &amp; owners equity</t>
  </si>
  <si>
    <t>Check</t>
  </si>
  <si>
    <t>Cash and cash equivalents</t>
  </si>
  <si>
    <t>Marketable Securities</t>
  </si>
  <si>
    <t>Trade accounts receivable</t>
  </si>
  <si>
    <t>Inventories</t>
  </si>
  <si>
    <t>Recoverable taxes</t>
  </si>
  <si>
    <t>Income tax and social contribution</t>
  </si>
  <si>
    <t>Related party credits</t>
  </si>
  <si>
    <t>Other receivables</t>
  </si>
  <si>
    <t>Guarantees and security deposits</t>
  </si>
  <si>
    <t>Marketable Securities Linked</t>
  </si>
  <si>
    <t>Guarantees and pledge deposits</t>
  </si>
  <si>
    <t>Deferred tax assets</t>
  </si>
  <si>
    <t>Investments</t>
  </si>
  <si>
    <t>Property, plant and equipment</t>
  </si>
  <si>
    <t>Right-of-use asset</t>
  </si>
  <si>
    <t>Intangible assets</t>
  </si>
  <si>
    <t>Suppliers</t>
  </si>
  <si>
    <t>Risk drawn to pay</t>
  </si>
  <si>
    <t>Loans and financing</t>
  </si>
  <si>
    <t>Social charges and labor legislation obligations</t>
  </si>
  <si>
    <t>Lawsuits</t>
  </si>
  <si>
    <t>Taxes payable</t>
  </si>
  <si>
    <t>Advances from clients</t>
  </si>
  <si>
    <t>Dividends payable</t>
  </si>
  <si>
    <t>Leasing payable</t>
  </si>
  <si>
    <t>Other accounts payable</t>
  </si>
  <si>
    <t>Taxes and contributions</t>
  </si>
  <si>
    <t>Capital</t>
  </si>
  <si>
    <t>Capital reserves</t>
  </si>
  <si>
    <t>Additional dividends proposed</t>
  </si>
  <si>
    <t>Income (loss) for the year</t>
  </si>
  <si>
    <t>Profit reserve</t>
  </si>
  <si>
    <t>Equity valuation adjustment</t>
  </si>
  <si>
    <t>Direct Road</t>
  </si>
  <si>
    <t>Consolidated</t>
  </si>
  <si>
    <t>Net Revenue</t>
  </si>
  <si>
    <t>Operating Net Revenue</t>
  </si>
  <si>
    <t>Road Transportation (OTM)</t>
  </si>
  <si>
    <t>Hedge Accounting</t>
  </si>
  <si>
    <t>Operating Costs</t>
  </si>
  <si>
    <t>Operating Expenses</t>
  </si>
  <si>
    <t>AFRMM &amp; Other Tax Credits</t>
  </si>
  <si>
    <t>Equity Accounting</t>
  </si>
  <si>
    <t>EBITDA</t>
  </si>
  <si>
    <t>Margin %</t>
  </si>
  <si>
    <t>Non-recurring</t>
  </si>
  <si>
    <t>JVs EBITDA</t>
  </si>
  <si>
    <t>EBITDA Including JVs impact</t>
  </si>
  <si>
    <t>OTM</t>
  </si>
  <si>
    <t>Holding</t>
  </si>
  <si>
    <t>NM</t>
  </si>
  <si>
    <t>Short-term debt</t>
  </si>
  <si>
    <t>Long-term debt</t>
  </si>
  <si>
    <t>Total debt</t>
  </si>
  <si>
    <t>Cash</t>
  </si>
  <si>
    <t>Net debt</t>
  </si>
  <si>
    <t>Leverage</t>
  </si>
  <si>
    <t>Leverage - Reported</t>
  </si>
  <si>
    <t xml:space="preserve">Acquisition of fixed assets </t>
  </si>
  <si>
    <t xml:space="preserve">Securities (investment) </t>
  </si>
  <si>
    <t>Loan granted between related parties</t>
  </si>
  <si>
    <t>Dividend received</t>
  </si>
  <si>
    <t xml:space="preserve">Lease paid </t>
  </si>
  <si>
    <t xml:space="preserve">Payment of dividends </t>
  </si>
  <si>
    <t>Bond repurchase</t>
  </si>
  <si>
    <t>HBIF Bond</t>
  </si>
  <si>
    <t>Debt (R$ millions)</t>
  </si>
  <si>
    <t>US$ MM</t>
  </si>
  <si>
    <t>Beginning balance</t>
  </si>
  <si>
    <t>Amortization</t>
  </si>
  <si>
    <t>Ending balance</t>
  </si>
  <si>
    <t>New Notes</t>
  </si>
  <si>
    <t>Paydown / refinance</t>
  </si>
  <si>
    <t>Principal</t>
  </si>
  <si>
    <t>Rate</t>
  </si>
  <si>
    <t>Expiration</t>
  </si>
  <si>
    <t>1Q31</t>
  </si>
  <si>
    <t>1Q21</t>
  </si>
  <si>
    <t>Interest expense</t>
  </si>
  <si>
    <t>1Q25</t>
  </si>
  <si>
    <t>%</t>
  </si>
  <si>
    <t>Period</t>
  </si>
  <si>
    <t>Issuance</t>
  </si>
  <si>
    <t xml:space="preserve">HB Cabotagem Bank Credit </t>
  </si>
  <si>
    <t>1Q33</t>
  </si>
  <si>
    <t>Exchange Rate</t>
  </si>
  <si>
    <t>FX exchange rate (EoP)</t>
  </si>
  <si>
    <t>Foreign Exchange</t>
  </si>
  <si>
    <t>FX Rate</t>
  </si>
  <si>
    <t>End of period</t>
  </si>
  <si>
    <t>R$ MM</t>
  </si>
  <si>
    <t>Annual amortization</t>
  </si>
  <si>
    <t>4Q16</t>
  </si>
  <si>
    <t>As of 4Q19</t>
  </si>
  <si>
    <t>FX exchange rate (implied)</t>
  </si>
  <si>
    <t>Flags</t>
  </si>
  <si>
    <t>Implied translation rate</t>
  </si>
  <si>
    <t>Translation adjustment</t>
  </si>
  <si>
    <t>Debt &amp; Interest Summary</t>
  </si>
  <si>
    <t>Average of period</t>
  </si>
  <si>
    <t>FX exchange rate (Avg.)</t>
  </si>
  <si>
    <t>Amortization schedule</t>
  </si>
  <si>
    <t>0.0x</t>
  </si>
  <si>
    <t>USD BRL</t>
  </si>
  <si>
    <t>kt</t>
  </si>
  <si>
    <t xml:space="preserve">Growth rate - annual </t>
  </si>
  <si>
    <t>Growth rate - quarterly</t>
  </si>
  <si>
    <t>Grains - annual growth rate</t>
  </si>
  <si>
    <t>CASE SUMMARY</t>
  </si>
  <si>
    <t>Case Toggle</t>
  </si>
  <si>
    <t>Active Case</t>
  </si>
  <si>
    <t>Upside</t>
  </si>
  <si>
    <t>Base</t>
  </si>
  <si>
    <t>Base Case</t>
  </si>
  <si>
    <t>Total ex-Road</t>
  </si>
  <si>
    <t>Inflation</t>
  </si>
  <si>
    <t>Macro Assumptions</t>
  </si>
  <si>
    <t>Financials</t>
  </si>
  <si>
    <t>EBITDA Margin</t>
  </si>
  <si>
    <t>Northern Corridor Drivers</t>
  </si>
  <si>
    <t>'21-'26</t>
  </si>
  <si>
    <t>Bauxite - annual growth rate</t>
  </si>
  <si>
    <t>Costal Navigation Drivers</t>
  </si>
  <si>
    <t>Bauxite volumes</t>
  </si>
  <si>
    <t>FX</t>
  </si>
  <si>
    <t>Total</t>
  </si>
  <si>
    <t>years</t>
  </si>
  <si>
    <t>Contracted revenue</t>
  </si>
  <si>
    <t>Santos</t>
  </si>
  <si>
    <t>Brazil annual inflation</t>
  </si>
  <si>
    <t>US annual inflation</t>
  </si>
  <si>
    <t>Pledged financial investments</t>
  </si>
  <si>
    <t>North Corridor (R$ millions)</t>
  </si>
  <si>
    <t>Contracted volumes</t>
  </si>
  <si>
    <t>Contracted net revenue</t>
  </si>
  <si>
    <t>Merchant volumes</t>
  </si>
  <si>
    <t>Seasonality</t>
  </si>
  <si>
    <t>Adjustment factor</t>
  </si>
  <si>
    <t>R$ / ton</t>
  </si>
  <si>
    <t>Grows with inflation</t>
  </si>
  <si>
    <t>Fertilizer volumes</t>
  </si>
  <si>
    <t>Grains volumes</t>
  </si>
  <si>
    <t>Contracted % of total volumes</t>
  </si>
  <si>
    <t>Flag</t>
  </si>
  <si>
    <t>Contracted volumes % of total</t>
  </si>
  <si>
    <t>Fertilizers (% of grains)</t>
  </si>
  <si>
    <t>Drivers</t>
  </si>
  <si>
    <t>South Corridor (R$ millions)</t>
  </si>
  <si>
    <t>Financials (BRL)</t>
  </si>
  <si>
    <t>Financials (USD)</t>
  </si>
  <si>
    <t>Total volumes ex-Iron Ore</t>
  </si>
  <si>
    <t>Southern Corridor Drivers</t>
  </si>
  <si>
    <t>Iron ore contracted revenue % of total</t>
  </si>
  <si>
    <t>Net effective rate - Grains, Fert &amp; Other</t>
  </si>
  <si>
    <t>Total revenue - Grains, Fert &amp; Other</t>
  </si>
  <si>
    <t>Total revenue - Iron Ore</t>
  </si>
  <si>
    <t>Contracted volumes - Iron Ore</t>
  </si>
  <si>
    <t>Contracted volumes % of total - Iron Ore</t>
  </si>
  <si>
    <t>Iron Ore - annual growth rate</t>
  </si>
  <si>
    <t>All Other - annual growth rate</t>
  </si>
  <si>
    <t>Iron ore volumes</t>
  </si>
  <si>
    <t>All other volumes</t>
  </si>
  <si>
    <t>Rate per ton</t>
  </si>
  <si>
    <t xml:space="preserve">Total revenue </t>
  </si>
  <si>
    <t>Contracted revenue - Iron Ore</t>
  </si>
  <si>
    <t>Contracted revenue % of total</t>
  </si>
  <si>
    <t>Costal Navigation (R$ millions)</t>
  </si>
  <si>
    <t>US$ / ton</t>
  </si>
  <si>
    <t>Santos (R$ millions)</t>
  </si>
  <si>
    <t>Santos Drivers</t>
  </si>
  <si>
    <t>Contracted Cash Flows (R$ millions)</t>
  </si>
  <si>
    <t>Macro Data</t>
  </si>
  <si>
    <t>Soybean</t>
  </si>
  <si>
    <t>World Production</t>
  </si>
  <si>
    <t>Brazil Production</t>
  </si>
  <si>
    <t>% of total</t>
  </si>
  <si>
    <t>Mato Grosso Production</t>
  </si>
  <si>
    <t>% of Brazil</t>
  </si>
  <si>
    <t>% of Mato Grosso</t>
  </si>
  <si>
    <t>Production Volumes (1000 MT)</t>
  </si>
  <si>
    <t>Export Volumes (1000 MT)</t>
  </si>
  <si>
    <t>Brazil Export Volumes</t>
  </si>
  <si>
    <t>Brazil</t>
  </si>
  <si>
    <t>Planted Area (Million Hectares)</t>
  </si>
  <si>
    <t>'20-'30</t>
  </si>
  <si>
    <t>Imports (MMT)</t>
  </si>
  <si>
    <t>China</t>
  </si>
  <si>
    <t>World</t>
  </si>
  <si>
    <t>ROW</t>
  </si>
  <si>
    <t>% of global trade</t>
  </si>
  <si>
    <t>CAGR</t>
  </si>
  <si>
    <t>% of MT</t>
  </si>
  <si>
    <t>Northern Grains - 2020/21 market share case</t>
  </si>
  <si>
    <t>Maintain market share case</t>
  </si>
  <si>
    <t>Northern Grains - Base Case</t>
  </si>
  <si>
    <t>Revenue - Fertilizers</t>
  </si>
  <si>
    <t>Revenue - Salt</t>
  </si>
  <si>
    <t>Salt ops begin</t>
  </si>
  <si>
    <t>Quarter</t>
  </si>
  <si>
    <t>Salt first year revenue</t>
  </si>
  <si>
    <t>Fertilizers - q/q growth rate</t>
  </si>
  <si>
    <t>Fertilizer rate</t>
  </si>
  <si>
    <t>Contracted volumes - GF&amp;O</t>
  </si>
  <si>
    <t>Merchant volumes - GF&amp;O</t>
  </si>
  <si>
    <t>Segments (R$ millions)</t>
  </si>
  <si>
    <t>Holding Drivers</t>
  </si>
  <si>
    <t>2021 Expense</t>
  </si>
  <si>
    <t>Allocation of Holding expense</t>
  </si>
  <si>
    <t>% of total revenue</t>
  </si>
  <si>
    <t>Consolidated Adj. EBITDA</t>
  </si>
  <si>
    <t>Standalone Adj. EBITDA</t>
  </si>
  <si>
    <t>% of total EBITDA</t>
  </si>
  <si>
    <t>Segments (US$ millions)</t>
  </si>
  <si>
    <t>Total Net Revenues</t>
  </si>
  <si>
    <t>Contracted Net Revenues</t>
  </si>
  <si>
    <t>Weighted average life - reported</t>
  </si>
  <si>
    <t>Financials (R$ millions)</t>
  </si>
  <si>
    <t>Tax rate</t>
  </si>
  <si>
    <t>% of NOPAT</t>
  </si>
  <si>
    <t>% of Revenues</t>
  </si>
  <si>
    <t>Interest expense - IS</t>
  </si>
  <si>
    <t>Interest payment - CFI</t>
  </si>
  <si>
    <t>TTM EBITDA</t>
  </si>
  <si>
    <t>DSCR</t>
  </si>
  <si>
    <t>Debt Plug</t>
  </si>
  <si>
    <t>Cash Flow Available for Debt Paydown</t>
  </si>
  <si>
    <t>Manual Adjustment</t>
  </si>
  <si>
    <t>Cash On Hand Available for Debt Paydown</t>
  </si>
  <si>
    <t>Revolver Balance \ New Financing</t>
  </si>
  <si>
    <t>Cash Flow Available (Required)</t>
  </si>
  <si>
    <t>Non-cash translation adjustment</t>
  </si>
  <si>
    <t>Cash amortization</t>
  </si>
  <si>
    <t>Minimum cash balance</t>
  </si>
  <si>
    <t>Balancing adjustment carryforward</t>
  </si>
  <si>
    <t>Revolver balance</t>
  </si>
  <si>
    <t>Cash EoP</t>
  </si>
  <si>
    <t>Cash interest</t>
  </si>
  <si>
    <t>Equity</t>
  </si>
  <si>
    <t>Shares outstanding BoP</t>
  </si>
  <si>
    <t>Shares outstanding EoP</t>
  </si>
  <si>
    <t>Shares issued / repurchased</t>
  </si>
  <si>
    <t>R$</t>
  </si>
  <si>
    <t>Shares</t>
  </si>
  <si>
    <t>Share price</t>
  </si>
  <si>
    <t>Equity issued / repurchased</t>
  </si>
  <si>
    <t>Dividend per share</t>
  </si>
  <si>
    <t>Dividend per share growth</t>
  </si>
  <si>
    <t>Dividend declared</t>
  </si>
  <si>
    <t>Dividend paid</t>
  </si>
  <si>
    <t>000's</t>
  </si>
  <si>
    <t>Yield</t>
  </si>
  <si>
    <t>Dividend coverage (CFO; declared basis)</t>
  </si>
  <si>
    <t>Total debt service</t>
  </si>
  <si>
    <t>Days AR</t>
  </si>
  <si>
    <t>Days AP</t>
  </si>
  <si>
    <t>Days</t>
  </si>
  <si>
    <t>Valuation (R$ millions)</t>
  </si>
  <si>
    <t>Last Reported Quarter</t>
  </si>
  <si>
    <t>Valuation Date</t>
  </si>
  <si>
    <t>Date</t>
  </si>
  <si>
    <t>Strip</t>
  </si>
  <si>
    <t>Cost of equity</t>
  </si>
  <si>
    <t>Contracted discount rate</t>
  </si>
  <si>
    <t>Merchant discount rate</t>
  </si>
  <si>
    <t>Exit multiple</t>
  </si>
  <si>
    <t>FCFE Walkdown</t>
  </si>
  <si>
    <t>Cash interest expense</t>
  </si>
  <si>
    <t>Cash taxes</t>
  </si>
  <si>
    <t>Working capital</t>
  </si>
  <si>
    <t>Net change in working capital</t>
  </si>
  <si>
    <t>Change in net working capital</t>
  </si>
  <si>
    <t>Capex</t>
  </si>
  <si>
    <t>FCFE</t>
  </si>
  <si>
    <t>Change in net debt</t>
  </si>
  <si>
    <t>Cash paydown / refinance - scheduled</t>
  </si>
  <si>
    <t>Revolver paydown / draw</t>
  </si>
  <si>
    <t>Cash change in debt</t>
  </si>
  <si>
    <t>Bond Refi</t>
  </si>
  <si>
    <t>On / Off</t>
  </si>
  <si>
    <t>Debt</t>
  </si>
  <si>
    <t>Refi Bond</t>
  </si>
  <si>
    <t>1Q22</t>
  </si>
  <si>
    <t>Expiration period</t>
  </si>
  <si>
    <t>1Q32</t>
  </si>
  <si>
    <t>Terminal value</t>
  </si>
  <si>
    <t>4Q26</t>
  </si>
  <si>
    <t>Terminal period</t>
  </si>
  <si>
    <t>Exit period</t>
  </si>
  <si>
    <t>Terminal EV</t>
  </si>
  <si>
    <t>Equity value</t>
  </si>
  <si>
    <t>Total equity cash flows</t>
  </si>
  <si>
    <t>Discount factor</t>
  </si>
  <si>
    <t>Present value of equity cash flows</t>
  </si>
  <si>
    <t>Equity PV</t>
  </si>
  <si>
    <t>Shares outstanding</t>
  </si>
  <si>
    <t>Intrinsic value</t>
  </si>
  <si>
    <t>Current share price</t>
  </si>
  <si>
    <t>Upside / downside</t>
  </si>
  <si>
    <t>Market cap</t>
  </si>
  <si>
    <t>Enterprise value</t>
  </si>
  <si>
    <t>Output</t>
  </si>
  <si>
    <t>Return</t>
  </si>
  <si>
    <t>Contracted revenues</t>
  </si>
  <si>
    <t>Contracted cash flows</t>
  </si>
  <si>
    <t>% contracted cash flows</t>
  </si>
  <si>
    <t>Discount factor - contracted</t>
  </si>
  <si>
    <t>Discount factor - merchant</t>
  </si>
  <si>
    <t>PV of contracted cash flows</t>
  </si>
  <si>
    <t>% merchant cash flows</t>
  </si>
  <si>
    <t>Merchant cash flows</t>
  </si>
  <si>
    <t>PV of merchant cash flows</t>
  </si>
  <si>
    <t>IRR</t>
  </si>
  <si>
    <t>Salt growth rate</t>
  </si>
  <si>
    <t>75bps increase p.a.</t>
  </si>
  <si>
    <t>Net debt / adj. EBITDA</t>
  </si>
  <si>
    <t>Inflation for FX - Brazil</t>
  </si>
  <si>
    <t>Inflation for FX - US</t>
  </si>
  <si>
    <t>Summary USD</t>
  </si>
  <si>
    <t>FCF yield</t>
  </si>
  <si>
    <t>Marketable securities</t>
  </si>
  <si>
    <t>CFO coverage</t>
  </si>
  <si>
    <t>Terminal value contracted %</t>
  </si>
  <si>
    <t>PV CFs</t>
  </si>
  <si>
    <t>PV TV</t>
  </si>
  <si>
    <t>PV Cont.</t>
  </si>
  <si>
    <t>PV Merch</t>
  </si>
  <si>
    <t>NTM EBITDA</t>
  </si>
  <si>
    <t>EV / NTM EBITDA multiple</t>
  </si>
  <si>
    <t>Exit period - trailing</t>
  </si>
  <si>
    <t>Circuit breaker</t>
  </si>
  <si>
    <t>Adj. EBITDA</t>
  </si>
  <si>
    <t>Dividend yield</t>
  </si>
  <si>
    <t>Terminal growth rate</t>
  </si>
  <si>
    <t>Implied terminal multiple</t>
  </si>
  <si>
    <t>Present value of cash flows</t>
  </si>
  <si>
    <t>Dividends paid</t>
  </si>
  <si>
    <t>Volume growth</t>
  </si>
  <si>
    <t>Pricing growth</t>
  </si>
  <si>
    <t>Margin expansion</t>
  </si>
  <si>
    <t>EBITDA Growth Attribution</t>
  </si>
  <si>
    <t>EBITDA Growth</t>
  </si>
  <si>
    <t>Margin</t>
  </si>
  <si>
    <t>Mix</t>
  </si>
  <si>
    <t>Useful life of investments</t>
  </si>
  <si>
    <t>Years</t>
  </si>
  <si>
    <t>Dividend per share - annualized</t>
  </si>
  <si>
    <t>Valuation</t>
  </si>
  <si>
    <t>EV / EBITDA</t>
  </si>
  <si>
    <t>DCF (Single Cost of Equity)</t>
  </si>
  <si>
    <t>Multiples - Valuation w/o Expansion</t>
  </si>
  <si>
    <t>End of year</t>
  </si>
  <si>
    <t>4Q flag</t>
  </si>
  <si>
    <t>Timing Based Drivers (R$ millions)</t>
  </si>
  <si>
    <t>Grains &amp; Fertilizers</t>
  </si>
  <si>
    <t>Other</t>
  </si>
  <si>
    <t>2021 capex</t>
  </si>
  <si>
    <t>2022 capex</t>
  </si>
  <si>
    <t>2023 % of revenues</t>
  </si>
  <si>
    <t>v</t>
  </si>
  <si>
    <t>Dividend per share increase</t>
  </si>
  <si>
    <t>Equity issuance</t>
  </si>
  <si>
    <t>Equity issuance strip</t>
  </si>
  <si>
    <t>Summary Operations &amp; Financials</t>
  </si>
  <si>
    <t>Units</t>
  </si>
  <si>
    <t>Net revenues</t>
  </si>
  <si>
    <t>Operating expenses</t>
  </si>
  <si>
    <t>EBITDA margin</t>
  </si>
  <si>
    <t>Cash Flow Statement</t>
  </si>
  <si>
    <t>Investing cash flows</t>
  </si>
  <si>
    <t>Operating cash flows</t>
  </si>
  <si>
    <t>Financing cash flows</t>
  </si>
  <si>
    <t>Net change in cash</t>
  </si>
  <si>
    <t>PV of contracted FCFE</t>
  </si>
  <si>
    <t>PV of merchant FCFE</t>
  </si>
  <si>
    <t>Terminal value of equity</t>
  </si>
  <si>
    <t>Blended implied discount rate</t>
  </si>
  <si>
    <t xml:space="preserve">Total cash flows </t>
  </si>
  <si>
    <t>% / R$</t>
  </si>
  <si>
    <t>DCF</t>
  </si>
  <si>
    <t>Multiples</t>
  </si>
  <si>
    <t>Hidrovias</t>
  </si>
  <si>
    <t>Rumo</t>
  </si>
  <si>
    <t>Bovespa</t>
  </si>
  <si>
    <t>TTM EBITDA, ex-Costal Navigation</t>
  </si>
  <si>
    <t>TTM EBITDA (covenant)</t>
  </si>
  <si>
    <t>Net debt / EBITDA - covenant</t>
  </si>
  <si>
    <t>Covenant leverage</t>
  </si>
  <si>
    <t>Counterparty</t>
  </si>
  <si>
    <t>System</t>
  </si>
  <si>
    <t>Start</t>
  </si>
  <si>
    <t>End</t>
  </si>
  <si>
    <t>VALE</t>
  </si>
  <si>
    <t>SODRU</t>
  </si>
  <si>
    <t>South</t>
  </si>
  <si>
    <t>Term</t>
  </si>
  <si>
    <t>North</t>
  </si>
  <si>
    <t>New End</t>
  </si>
  <si>
    <t>COFCO</t>
  </si>
  <si>
    <t>ALLUNORTE</t>
  </si>
  <si>
    <t>FERTILIZANTES TOCANTINS</t>
  </si>
  <si>
    <t>SALINOR</t>
  </si>
  <si>
    <t>Costal</t>
  </si>
  <si>
    <t>Take or Pay - Reported</t>
  </si>
  <si>
    <t>Remain</t>
  </si>
  <si>
    <t>Rev Weight</t>
  </si>
  <si>
    <t>A Rev</t>
  </si>
  <si>
    <t>Vale</t>
  </si>
  <si>
    <t>Fertilizantes Tocantins</t>
  </si>
  <si>
    <t>Salinor</t>
  </si>
  <si>
    <t>% growth</t>
  </si>
  <si>
    <t>Merchant cash flows - haircut</t>
  </si>
  <si>
    <t>Implied merchant discount rate</t>
  </si>
  <si>
    <t>Rest of World</t>
  </si>
  <si>
    <t>Global Soybeans Trade</t>
  </si>
  <si>
    <t>% change in FCFE</t>
  </si>
  <si>
    <t>% of total exports</t>
  </si>
  <si>
    <t>Hidrovias market share</t>
  </si>
  <si>
    <t xml:space="preserve">Contract Buildout </t>
  </si>
  <si>
    <t>Vale South</t>
  </si>
  <si>
    <t>Sodru South</t>
  </si>
  <si>
    <t>COFCO South</t>
  </si>
  <si>
    <t>Sodru Noth</t>
  </si>
  <si>
    <t>COFCO North</t>
  </si>
  <si>
    <t>Allunorte</t>
  </si>
  <si>
    <t>MT Total</t>
  </si>
  <si>
    <t>MT Fertilizer Imports</t>
  </si>
  <si>
    <t>% market share</t>
  </si>
  <si>
    <t>Northern Fertilizer</t>
  </si>
  <si>
    <t>Mato Grosso Exports</t>
  </si>
  <si>
    <t>% of volumes from MT</t>
  </si>
  <si>
    <t>Northern Grains - market share growth case</t>
  </si>
  <si>
    <t xml:space="preserve">% MT market share </t>
  </si>
  <si>
    <t>Northern Fertilizer - market share growth case</t>
  </si>
  <si>
    <t>% of volumes to MT</t>
  </si>
  <si>
    <t>Grains growth rate case</t>
  </si>
  <si>
    <t>Fertilizer - annual growth rate</t>
  </si>
  <si>
    <t>Market share growth case</t>
  </si>
  <si>
    <t>Revenue Drivers</t>
  </si>
  <si>
    <t>Cost Drivers</t>
  </si>
  <si>
    <t>Fixed % of total</t>
  </si>
  <si>
    <t>Total opex</t>
  </si>
  <si>
    <t>Fixed opex</t>
  </si>
  <si>
    <t>Variable opex</t>
  </si>
  <si>
    <t>USLD</t>
  </si>
  <si>
    <t>US$ / gal</t>
  </si>
  <si>
    <t>R$ / gal</t>
  </si>
  <si>
    <t>Merchant revenue</t>
  </si>
  <si>
    <t>Fertilizer tariff</t>
  </si>
  <si>
    <t>Grains tariff</t>
  </si>
  <si>
    <t>Net effective tariff</t>
  </si>
  <si>
    <t>Grain tariff - annual growth rate</t>
  </si>
  <si>
    <t>Fertilizer tariff - annual growth rate</t>
  </si>
  <si>
    <t>Fertilizer tariff - discount to grains</t>
  </si>
  <si>
    <t>Contract roll off haircut</t>
  </si>
  <si>
    <t>Total Revenue</t>
  </si>
  <si>
    <t>Contracted net effective tariff</t>
  </si>
  <si>
    <t>EBIT</t>
  </si>
  <si>
    <t>Net interest income / (expense)</t>
  </si>
  <si>
    <t>Effective tax rate</t>
  </si>
  <si>
    <t>Salaries, charges and benefits</t>
  </si>
  <si>
    <t>Fuel</t>
  </si>
  <si>
    <t>Freight</t>
  </si>
  <si>
    <t>Cost Analysis (R$ millions)</t>
  </si>
  <si>
    <t>Opex &amp; G&amp;A</t>
  </si>
  <si>
    <t>Fuel Efficiency Analysis</t>
  </si>
  <si>
    <t>million gals</t>
  </si>
  <si>
    <t>Fuel efficiency</t>
  </si>
  <si>
    <t>ton / gal</t>
  </si>
  <si>
    <t>% fixed costs</t>
  </si>
  <si>
    <t>% of fixed other costs</t>
  </si>
  <si>
    <t>PPP derived</t>
  </si>
  <si>
    <t>Forward curve (4/5/21)</t>
  </si>
  <si>
    <t>R$ gal</t>
  </si>
  <si>
    <t>Fuel consumed</t>
  </si>
  <si>
    <t>MM gal</t>
  </si>
  <si>
    <t>Fuel expense</t>
  </si>
  <si>
    <t>Cost of fuel</t>
  </si>
  <si>
    <t>Other variable expenses</t>
  </si>
  <si>
    <t>Annual growth rate</t>
  </si>
  <si>
    <t>Other variable costs growth rate</t>
  </si>
  <si>
    <t>Contracted revenue - GF&amp;O</t>
  </si>
  <si>
    <t>Merchant revenue - GF&amp;O</t>
  </si>
  <si>
    <t>Total revenue - GF&amp;O</t>
  </si>
  <si>
    <t>US$ gal</t>
  </si>
  <si>
    <t>US$</t>
  </si>
  <si>
    <t>Other variable opex / ton</t>
  </si>
  <si>
    <t>Revert over four years</t>
  </si>
  <si>
    <t>Revert over two years</t>
  </si>
  <si>
    <t>Equity repurchased / issued</t>
  </si>
  <si>
    <t>Implied price</t>
  </si>
  <si>
    <t>Implied upside</t>
  </si>
  <si>
    <t>Expansion capex</t>
  </si>
  <si>
    <t>Maintenance capex</t>
  </si>
  <si>
    <t>Total capex</t>
  </si>
  <si>
    <t>Expansion project - Miritituba expansion</t>
  </si>
  <si>
    <t>Fixed cost per ton</t>
  </si>
  <si>
    <t>Implied cost of equity</t>
  </si>
  <si>
    <t>Premium to 2031 notes</t>
  </si>
  <si>
    <t>bps</t>
  </si>
  <si>
    <t>No equity</t>
  </si>
  <si>
    <t>Santos build schedule</t>
  </si>
  <si>
    <t>Miritituba expansion</t>
  </si>
  <si>
    <t>Total capital cost</t>
  </si>
  <si>
    <t>Growth Drivers</t>
  </si>
  <si>
    <t>Fertilizer</t>
  </si>
  <si>
    <t>New contracts</t>
  </si>
  <si>
    <t>Growth: Fertilizer</t>
  </si>
  <si>
    <t>Growth: Contracts</t>
  </si>
  <si>
    <t>Schedule</t>
  </si>
  <si>
    <t>Expansion project - Salt &amp; Santos works</t>
  </si>
  <si>
    <t>Annual loading capacity</t>
  </si>
  <si>
    <t>Miritituba</t>
  </si>
  <si>
    <t>Vila do Conde</t>
  </si>
  <si>
    <t>4Q22</t>
  </si>
  <si>
    <t>1Q23</t>
  </si>
  <si>
    <t>Growth with inflation</t>
  </si>
  <si>
    <t>Multiples - Market Implied</t>
  </si>
  <si>
    <t>Growth (R$ millions)</t>
  </si>
  <si>
    <t>Growth</t>
  </si>
  <si>
    <t>Fertilizer Upside</t>
  </si>
  <si>
    <t>Contract Upside</t>
  </si>
  <si>
    <t>Tariff</t>
  </si>
  <si>
    <t>vs Base Case</t>
  </si>
  <si>
    <t>Volumes - Iron Ore</t>
  </si>
  <si>
    <t>Volumes - Fertilizer</t>
  </si>
  <si>
    <t>Volumes - Bauxite</t>
  </si>
  <si>
    <t>Tariff - Iron Ore</t>
  </si>
  <si>
    <t>Tariff - Bauxite</t>
  </si>
  <si>
    <t>Total Growth BRA</t>
  </si>
  <si>
    <t>Valuation Assumptions</t>
  </si>
  <si>
    <t>2024 % of revenues</t>
  </si>
  <si>
    <t>2025 % of revenues</t>
  </si>
  <si>
    <t>2026 % of revenues</t>
  </si>
  <si>
    <t>Override</t>
  </si>
  <si>
    <t>Multiples - Valuation Implied</t>
  </si>
  <si>
    <t>Excess cash</t>
  </si>
  <si>
    <t>Operating cash</t>
  </si>
  <si>
    <t>FCFE/EBITDA conversion rate</t>
  </si>
  <si>
    <t>Change in total FCFE</t>
  </si>
  <si>
    <t>Refinance bond</t>
  </si>
  <si>
    <t>Quantum</t>
  </si>
  <si>
    <t>Dividend</t>
  </si>
  <si>
    <t>Revenue conversion</t>
  </si>
  <si>
    <t>Contracted FCFE</t>
  </si>
  <si>
    <t>#</t>
  </si>
  <si>
    <t>Contracted CF Analysis</t>
  </si>
  <si>
    <t>Merchant CF Analysis</t>
  </si>
  <si>
    <t>vs Memo - overvalued / (undervalued)</t>
  </si>
  <si>
    <t>Exit FCFE yield</t>
  </si>
  <si>
    <t>Cash &amp; marketable securities</t>
  </si>
  <si>
    <t>DCF (Contracted/Merchant Discount Rates)</t>
  </si>
  <si>
    <t>Coastal Navigation</t>
  </si>
  <si>
    <t>Santos Navigation</t>
  </si>
  <si>
    <t>15% step-up / growth with inflation</t>
  </si>
  <si>
    <t>% implied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</si>
</sst>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43" formatCode="_(* #,##0.00_);_(* \(#,##0.00\);_(* &quot;-&quot;??_);_(@_)"/>
    <numFmt numFmtId="164" formatCode="#,##0.0_);\(#,##0.0\)"/>
    <numFmt numFmtId="165" formatCode="&quot;$&quot;#,##0.00"/>
    <numFmt numFmtId="166" formatCode="&quot;$&quot;#,##0.000"/>
    <numFmt numFmtId="167" formatCode="0.0%"/>
    <numFmt numFmtId="168" formatCode="0.0\x"/>
    <numFmt numFmtId="169" formatCode="0.000%"/>
    <numFmt numFmtId="170" formatCode="#,##0.0"/>
    <numFmt numFmtId="171" formatCode="0.0"/>
    <numFmt numFmtId="172" formatCode="0.0_);\(0.0\)"/>
    <numFmt numFmtId="173" formatCode="0_);\(0\)"/>
    <numFmt numFmtId="174" formatCode="0&quot;A&quot;"/>
    <numFmt numFmtId="175" formatCode="0&quot;E&quot;"/>
    <numFmt numFmtId="176" formatCode="&quot;OK&quot;;&quot;CHECK&quot;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sz val="10"/>
      <color rgb="FF0000FF"/>
      <name val="Arial Narrow"/>
      <family val="2"/>
    </font>
    <font>
      <b/>
      <sz val="10"/>
      <color rgb="FF0000FF"/>
      <name val="Arial Narrow"/>
      <family val="2"/>
    </font>
    <font>
      <sz val="10"/>
      <name val="Arial Narrow"/>
      <family val="2"/>
    </font>
    <font>
      <b/>
      <sz val="10"/>
      <name val="Arial Narrow"/>
      <family val="2"/>
    </font>
    <font>
      <i/>
      <sz val="10"/>
      <color theme="1"/>
      <name val="Arial Narrow"/>
      <family val="2"/>
    </font>
    <font>
      <i/>
      <sz val="10"/>
      <color rgb="FF0000FF"/>
      <name val="Arial Narrow"/>
      <family val="2"/>
    </font>
    <font>
      <i/>
      <sz val="10"/>
      <name val="Arial Narrow"/>
      <family val="2"/>
    </font>
    <font>
      <b/>
      <i/>
      <sz val="10"/>
      <color theme="1"/>
      <name val="Arial Narrow"/>
      <family val="2"/>
    </font>
    <font>
      <sz val="10"/>
      <color rgb="FF00B050"/>
      <name val="Arial Narrow"/>
      <family val="2"/>
    </font>
    <font>
      <sz val="10"/>
      <name val="Arial"/>
      <family val="2"/>
    </font>
    <font>
      <b/>
      <sz val="10"/>
      <color rgb="FFC00000"/>
      <name val="Arial Narrow"/>
      <family val="2"/>
    </font>
    <font>
      <b/>
      <sz val="10"/>
      <color rgb="FF00B050"/>
      <name val="Arial Narrow"/>
      <family val="2"/>
    </font>
    <font>
      <i/>
      <sz val="10"/>
      <color rgb="FF00B050"/>
      <name val="Arial Narrow"/>
      <family val="2"/>
    </font>
    <font>
      <sz val="10"/>
      <color rgb="FFFF0000"/>
      <name val="Arial Narrow"/>
      <family val="2"/>
    </font>
    <font>
      <i/>
      <sz val="10"/>
      <color rgb="FFFF0000"/>
      <name val="Arial Narrow"/>
      <family val="2"/>
    </font>
    <font>
      <b/>
      <sz val="10"/>
      <color rgb="FFFF0000"/>
      <name val="Arial Narrow"/>
      <family val="2"/>
    </font>
    <font>
      <i/>
      <sz val="10"/>
      <color theme="0"/>
      <name val="Arial Narrow"/>
      <family val="2"/>
    </font>
    <font>
      <b/>
      <i/>
      <sz val="10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6" fillId="0" borderId="0"/>
    <xf numFmtId="43" fontId="1" fillId="0" borderId="0" applyFont="0" applyFill="0" applyBorder="0" applyAlignment="0" applyProtection="0"/>
  </cellStyleXfs>
  <cellXfs count="357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5" fillId="3" borderId="0" xfId="0" applyFont="1" applyFill="1"/>
    <xf numFmtId="0" fontId="2" fillId="3" borderId="0" xfId="0" applyFont="1" applyFill="1"/>
    <xf numFmtId="0" fontId="6" fillId="3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7" fillId="0" borderId="0" xfId="0" applyNumberFormat="1" applyFont="1"/>
    <xf numFmtId="164" fontId="2" fillId="0" borderId="0" xfId="0" applyNumberFormat="1" applyFont="1"/>
    <xf numFmtId="164" fontId="7" fillId="0" borderId="0" xfId="0" applyNumberFormat="1" applyFont="1"/>
    <xf numFmtId="164" fontId="3" fillId="0" borderId="0" xfId="0" applyNumberFormat="1" applyFont="1"/>
    <xf numFmtId="37" fontId="7" fillId="0" borderId="0" xfId="0" applyNumberFormat="1" applyFont="1"/>
    <xf numFmtId="166" fontId="2" fillId="0" borderId="0" xfId="0" applyNumberFormat="1" applyFont="1"/>
    <xf numFmtId="164" fontId="8" fillId="0" borderId="0" xfId="0" applyNumberFormat="1" applyFont="1"/>
    <xf numFmtId="0" fontId="2" fillId="0" borderId="0" xfId="0" applyFont="1" applyFill="1"/>
    <xf numFmtId="0" fontId="3" fillId="0" borderId="0" xfId="0" applyFont="1" applyAlignment="1">
      <alignment horizontal="left" indent="1"/>
    </xf>
    <xf numFmtId="0" fontId="2" fillId="0" borderId="0" xfId="0" applyFont="1" applyAlignment="1">
      <alignment horizontal="left" indent="1"/>
    </xf>
    <xf numFmtId="0" fontId="2" fillId="0" borderId="0" xfId="0" quotePrefix="1" applyFont="1" applyAlignment="1">
      <alignment horizontal="left" indent="1"/>
    </xf>
    <xf numFmtId="37" fontId="2" fillId="0" borderId="0" xfId="0" applyNumberFormat="1" applyFont="1"/>
    <xf numFmtId="0" fontId="2" fillId="0" borderId="0" xfId="0" applyFont="1" applyAlignment="1">
      <alignment horizontal="left"/>
    </xf>
    <xf numFmtId="164" fontId="9" fillId="0" borderId="0" xfId="0" applyNumberFormat="1" applyFont="1"/>
    <xf numFmtId="164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 indent="1"/>
    </xf>
    <xf numFmtId="164" fontId="11" fillId="0" borderId="0" xfId="0" applyNumberFormat="1" applyFont="1"/>
    <xf numFmtId="164" fontId="12" fillId="0" borderId="0" xfId="0" applyNumberFormat="1" applyFont="1"/>
    <xf numFmtId="167" fontId="12" fillId="0" borderId="0" xfId="1" applyNumberFormat="1" applyFont="1"/>
    <xf numFmtId="167" fontId="13" fillId="0" borderId="0" xfId="1" applyNumberFormat="1" applyFont="1"/>
    <xf numFmtId="167" fontId="9" fillId="0" borderId="0" xfId="1" applyNumberFormat="1" applyFont="1"/>
    <xf numFmtId="0" fontId="14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5" borderId="0" xfId="0" applyFont="1" applyFill="1"/>
    <xf numFmtId="0" fontId="3" fillId="5" borderId="0" xfId="0" applyFont="1" applyFill="1"/>
    <xf numFmtId="164" fontId="2" fillId="5" borderId="0" xfId="0" applyNumberFormat="1" applyFont="1" applyFill="1"/>
    <xf numFmtId="164" fontId="7" fillId="5" borderId="0" xfId="0" applyNumberFormat="1" applyFont="1" applyFill="1"/>
    <xf numFmtId="9" fontId="9" fillId="0" borderId="0" xfId="1" applyFont="1"/>
    <xf numFmtId="37" fontId="3" fillId="0" borderId="0" xfId="0" applyNumberFormat="1" applyFont="1"/>
    <xf numFmtId="37" fontId="11" fillId="0" borderId="0" xfId="0" applyNumberFormat="1" applyFont="1"/>
    <xf numFmtId="167" fontId="13" fillId="0" borderId="0" xfId="1" applyNumberFormat="1" applyFont="1" applyAlignment="1">
      <alignment horizontal="right"/>
    </xf>
    <xf numFmtId="168" fontId="7" fillId="0" borderId="0" xfId="0" applyNumberFormat="1" applyFont="1"/>
    <xf numFmtId="165" fontId="7" fillId="5" borderId="0" xfId="0" applyNumberFormat="1" applyFont="1" applyFill="1"/>
    <xf numFmtId="0" fontId="2" fillId="0" borderId="0" xfId="0" quotePrefix="1" applyFont="1" applyAlignment="1">
      <alignment horizontal="center"/>
    </xf>
    <xf numFmtId="164" fontId="15" fillId="0" borderId="0" xfId="0" applyNumberFormat="1" applyFont="1"/>
    <xf numFmtId="0" fontId="15" fillId="0" borderId="0" xfId="0" applyFont="1" applyAlignment="1">
      <alignment horizontal="center"/>
    </xf>
    <xf numFmtId="169" fontId="15" fillId="0" borderId="0" xfId="1" applyNumberFormat="1" applyFont="1" applyAlignment="1">
      <alignment horizontal="center"/>
    </xf>
    <xf numFmtId="168" fontId="15" fillId="0" borderId="0" xfId="0" applyNumberFormat="1" applyFont="1"/>
    <xf numFmtId="0" fontId="2" fillId="0" borderId="2" xfId="0" applyFont="1" applyBorder="1" applyAlignment="1">
      <alignment horizontal="left" indent="1"/>
    </xf>
    <xf numFmtId="0" fontId="2" fillId="0" borderId="3" xfId="0" applyFont="1" applyBorder="1" applyAlignment="1">
      <alignment horizontal="center"/>
    </xf>
    <xf numFmtId="164" fontId="7" fillId="0" borderId="4" xfId="0" applyNumberFormat="1" applyFont="1" applyBorder="1"/>
    <xf numFmtId="0" fontId="2" fillId="0" borderId="5" xfId="0" applyFont="1" applyBorder="1" applyAlignment="1">
      <alignment horizontal="left" indent="1"/>
    </xf>
    <xf numFmtId="0" fontId="2" fillId="0" borderId="0" xfId="0" applyFont="1" applyBorder="1" applyAlignment="1">
      <alignment horizontal="center"/>
    </xf>
    <xf numFmtId="169" fontId="7" fillId="0" borderId="6" xfId="0" applyNumberFormat="1" applyFont="1" applyBorder="1"/>
    <xf numFmtId="0" fontId="2" fillId="0" borderId="7" xfId="0" applyFont="1" applyBorder="1" applyAlignment="1">
      <alignment horizontal="left" indent="1"/>
    </xf>
    <xf numFmtId="0" fontId="2" fillId="0" borderId="8" xfId="0" applyFont="1" applyBorder="1" applyAlignment="1">
      <alignment horizontal="center"/>
    </xf>
    <xf numFmtId="0" fontId="7" fillId="0" borderId="9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2" fillId="0" borderId="0" xfId="0" applyFont="1" applyBorder="1"/>
    <xf numFmtId="0" fontId="2" fillId="0" borderId="8" xfId="0" applyFont="1" applyBorder="1"/>
    <xf numFmtId="39" fontId="7" fillId="0" borderId="0" xfId="0" applyNumberFormat="1" applyFont="1"/>
    <xf numFmtId="39" fontId="15" fillId="0" borderId="0" xfId="0" applyNumberFormat="1" applyFont="1"/>
    <xf numFmtId="164" fontId="15" fillId="0" borderId="0" xfId="0" applyNumberFormat="1" applyFont="1" applyAlignment="1">
      <alignment horizontal="center"/>
    </xf>
    <xf numFmtId="169" fontId="7" fillId="6" borderId="6" xfId="0" applyNumberFormat="1" applyFont="1" applyFill="1" applyBorder="1"/>
    <xf numFmtId="164" fontId="9" fillId="0" borderId="6" xfId="0" applyNumberFormat="1" applyFont="1" applyBorder="1"/>
    <xf numFmtId="39" fontId="9" fillId="0" borderId="0" xfId="0" applyNumberFormat="1" applyFont="1"/>
    <xf numFmtId="167" fontId="3" fillId="0" borderId="0" xfId="1" applyNumberFormat="1" applyFont="1"/>
    <xf numFmtId="9" fontId="2" fillId="0" borderId="0" xfId="1" applyFont="1"/>
    <xf numFmtId="167" fontId="11" fillId="0" borderId="0" xfId="1" applyNumberFormat="1" applyFont="1"/>
    <xf numFmtId="0" fontId="10" fillId="0" borderId="0" xfId="2" applyFont="1"/>
    <xf numFmtId="1" fontId="8" fillId="7" borderId="1" xfId="2" applyNumberFormat="1" applyFont="1" applyFill="1" applyBorder="1" applyAlignment="1">
      <alignment horizontal="center"/>
    </xf>
    <xf numFmtId="0" fontId="7" fillId="4" borderId="1" xfId="2" applyFont="1" applyFill="1" applyBorder="1" applyAlignment="1">
      <alignment horizontal="center"/>
    </xf>
    <xf numFmtId="0" fontId="9" fillId="4" borderId="1" xfId="2" applyFont="1" applyFill="1" applyBorder="1" applyAlignment="1">
      <alignment horizontal="center"/>
    </xf>
    <xf numFmtId="0" fontId="2" fillId="0" borderId="0" xfId="2" applyFont="1"/>
    <xf numFmtId="0" fontId="9" fillId="0" borderId="0" xfId="2" applyFont="1"/>
    <xf numFmtId="14" fontId="10" fillId="8" borderId="1" xfId="2" applyNumberFormat="1" applyFont="1" applyFill="1" applyBorder="1" applyAlignment="1">
      <alignment horizontal="center"/>
    </xf>
    <xf numFmtId="0" fontId="9" fillId="8" borderId="10" xfId="2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/>
    </xf>
    <xf numFmtId="0" fontId="17" fillId="0" borderId="0" xfId="2" applyFont="1"/>
    <xf numFmtId="0" fontId="3" fillId="0" borderId="0" xfId="0" quotePrefix="1" applyFont="1" applyAlignment="1">
      <alignment horizontal="center"/>
    </xf>
    <xf numFmtId="167" fontId="7" fillId="0" borderId="0" xfId="0" applyNumberFormat="1" applyFont="1"/>
    <xf numFmtId="0" fontId="3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167" fontId="10" fillId="0" borderId="0" xfId="0" applyNumberFormat="1" applyFont="1"/>
    <xf numFmtId="167" fontId="19" fillId="0" borderId="0" xfId="1" applyNumberFormat="1" applyFont="1"/>
    <xf numFmtId="0" fontId="4" fillId="2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167" fontId="9" fillId="0" borderId="0" xfId="0" applyNumberFormat="1" applyFont="1"/>
    <xf numFmtId="165" fontId="9" fillId="0" borderId="0" xfId="1" applyNumberFormat="1" applyFont="1"/>
    <xf numFmtId="167" fontId="7" fillId="4" borderId="1" xfId="0" applyNumberFormat="1" applyFont="1" applyFill="1" applyBorder="1" applyAlignment="1">
      <alignment horizontal="center"/>
    </xf>
    <xf numFmtId="10" fontId="7" fillId="4" borderId="1" xfId="0" applyNumberFormat="1" applyFont="1" applyFill="1" applyBorder="1" applyAlignment="1">
      <alignment horizontal="center"/>
    </xf>
    <xf numFmtId="167" fontId="9" fillId="8" borderId="10" xfId="1" applyNumberFormat="1" applyFont="1" applyFill="1" applyBorder="1" applyAlignment="1">
      <alignment horizontal="center"/>
    </xf>
    <xf numFmtId="10" fontId="9" fillId="8" borderId="10" xfId="1" applyNumberFormat="1" applyFont="1" applyFill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0" fontId="2" fillId="0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center"/>
    </xf>
    <xf numFmtId="2" fontId="15" fillId="0" borderId="0" xfId="0" applyNumberFormat="1" applyFont="1"/>
    <xf numFmtId="0" fontId="9" fillId="0" borderId="0" xfId="0" applyFont="1" applyAlignment="1">
      <alignment horizontal="center"/>
    </xf>
    <xf numFmtId="167" fontId="2" fillId="0" borderId="0" xfId="0" applyNumberFormat="1" applyFont="1"/>
    <xf numFmtId="39" fontId="2" fillId="0" borderId="0" xfId="0" applyNumberFormat="1" applyFont="1" applyFill="1"/>
    <xf numFmtId="39" fontId="20" fillId="0" borderId="0" xfId="0" applyNumberFormat="1" applyFont="1"/>
    <xf numFmtId="164" fontId="20" fillId="0" borderId="0" xfId="0" applyNumberFormat="1" applyFont="1"/>
    <xf numFmtId="164" fontId="15" fillId="0" borderId="0" xfId="0" applyNumberFormat="1" applyFont="1" applyBorder="1"/>
    <xf numFmtId="164" fontId="3" fillId="0" borderId="0" xfId="0" applyNumberFormat="1" applyFont="1" applyBorder="1"/>
    <xf numFmtId="164" fontId="4" fillId="2" borderId="0" xfId="0" applyNumberFormat="1" applyFont="1" applyFill="1"/>
    <xf numFmtId="39" fontId="19" fillId="0" borderId="0" xfId="0" applyNumberFormat="1" applyFont="1"/>
    <xf numFmtId="167" fontId="21" fillId="0" borderId="0" xfId="1" applyNumberFormat="1" applyFont="1"/>
    <xf numFmtId="165" fontId="10" fillId="0" borderId="0" xfId="1" applyNumberFormat="1" applyFont="1"/>
    <xf numFmtId="165" fontId="15" fillId="0" borderId="0" xfId="1" applyNumberFormat="1" applyFont="1"/>
    <xf numFmtId="164" fontId="22" fillId="0" borderId="0" xfId="0" applyNumberFormat="1" applyFont="1"/>
    <xf numFmtId="164" fontId="11" fillId="0" borderId="0" xfId="0" applyNumberFormat="1" applyFont="1" applyAlignment="1">
      <alignment horizontal="right"/>
    </xf>
    <xf numFmtId="0" fontId="11" fillId="0" borderId="0" xfId="0" quotePrefix="1" applyFont="1" applyAlignment="1">
      <alignment horizontal="center"/>
    </xf>
    <xf numFmtId="0" fontId="5" fillId="2" borderId="0" xfId="0" applyFont="1" applyFill="1" applyAlignment="1">
      <alignment horizontal="center"/>
    </xf>
    <xf numFmtId="0" fontId="11" fillId="0" borderId="0" xfId="0" applyFont="1" applyFill="1"/>
    <xf numFmtId="0" fontId="11" fillId="0" borderId="0" xfId="0" quotePrefix="1" applyFont="1" applyFill="1" applyAlignment="1">
      <alignment horizontal="center"/>
    </xf>
    <xf numFmtId="39" fontId="19" fillId="0" borderId="0" xfId="0" applyNumberFormat="1" applyFont="1" applyFill="1"/>
    <xf numFmtId="167" fontId="13" fillId="0" borderId="0" xfId="1" applyNumberFormat="1" applyFont="1" applyFill="1"/>
    <xf numFmtId="167" fontId="21" fillId="0" borderId="0" xfId="1" applyNumberFormat="1" applyFont="1" applyFill="1"/>
    <xf numFmtId="167" fontId="11" fillId="0" borderId="0" xfId="1" applyNumberFormat="1" applyFont="1" applyFill="1"/>
    <xf numFmtId="0" fontId="2" fillId="0" borderId="0" xfId="0" applyFont="1" applyFill="1" applyAlignment="1">
      <alignment horizontal="center"/>
    </xf>
    <xf numFmtId="165" fontId="2" fillId="0" borderId="0" xfId="1" applyNumberFormat="1" applyFont="1"/>
    <xf numFmtId="14" fontId="2" fillId="0" borderId="0" xfId="0" applyNumberFormat="1" applyFont="1" applyAlignment="1">
      <alignment horizontal="center"/>
    </xf>
    <xf numFmtId="0" fontId="18" fillId="0" borderId="0" xfId="0" applyFont="1" applyFill="1" applyAlignment="1">
      <alignment horizontal="center"/>
    </xf>
    <xf numFmtId="164" fontId="9" fillId="0" borderId="0" xfId="0" applyNumberFormat="1" applyFont="1" applyFill="1"/>
    <xf numFmtId="165" fontId="20" fillId="0" borderId="0" xfId="1" applyNumberFormat="1" applyFont="1"/>
    <xf numFmtId="167" fontId="12" fillId="0" borderId="0" xfId="1" applyNumberFormat="1" applyFont="1" applyFill="1"/>
    <xf numFmtId="167" fontId="3" fillId="0" borderId="0" xfId="1" applyNumberFormat="1" applyFont="1" applyAlignment="1">
      <alignment horizontal="center"/>
    </xf>
    <xf numFmtId="3" fontId="2" fillId="0" borderId="0" xfId="0" applyNumberFormat="1" applyFont="1"/>
    <xf numFmtId="3" fontId="7" fillId="0" borderId="0" xfId="0" applyNumberFormat="1" applyFont="1"/>
    <xf numFmtId="167" fontId="2" fillId="0" borderId="0" xfId="1" applyNumberFormat="1" applyFont="1"/>
    <xf numFmtId="3" fontId="9" fillId="0" borderId="0" xfId="0" applyNumberFormat="1" applyFont="1"/>
    <xf numFmtId="3" fontId="15" fillId="0" borderId="0" xfId="0" applyNumberFormat="1" applyFont="1"/>
    <xf numFmtId="170" fontId="7" fillId="0" borderId="0" xfId="0" applyNumberFormat="1" applyFont="1"/>
    <xf numFmtId="167" fontId="7" fillId="0" borderId="0" xfId="1" applyNumberFormat="1" applyFont="1" applyAlignment="1">
      <alignment horizontal="center"/>
    </xf>
    <xf numFmtId="170" fontId="9" fillId="0" borderId="0" xfId="0" applyNumberFormat="1" applyFont="1"/>
    <xf numFmtId="170" fontId="2" fillId="0" borderId="0" xfId="0" applyNumberFormat="1" applyFont="1"/>
    <xf numFmtId="0" fontId="8" fillId="0" borderId="0" xfId="0" applyFont="1"/>
    <xf numFmtId="167" fontId="15" fillId="0" borderId="0" xfId="1" applyNumberFormat="1" applyFont="1"/>
    <xf numFmtId="10" fontId="2" fillId="0" borderId="0" xfId="0" applyNumberFormat="1" applyFont="1"/>
    <xf numFmtId="171" fontId="9" fillId="8" borderId="10" xfId="2" applyNumberFormat="1" applyFont="1" applyFill="1" applyBorder="1" applyAlignment="1">
      <alignment horizontal="center"/>
    </xf>
    <xf numFmtId="171" fontId="2" fillId="0" borderId="0" xfId="0" applyNumberFormat="1" applyFont="1"/>
    <xf numFmtId="171" fontId="7" fillId="4" borderId="1" xfId="0" applyNumberFormat="1" applyFont="1" applyFill="1" applyBorder="1" applyAlignment="1">
      <alignment horizontal="center"/>
    </xf>
    <xf numFmtId="167" fontId="7" fillId="0" borderId="0" xfId="0" applyNumberFormat="1" applyFont="1" applyFill="1"/>
    <xf numFmtId="164" fontId="18" fillId="0" borderId="0" xfId="0" applyNumberFormat="1" applyFont="1"/>
    <xf numFmtId="164" fontId="15" fillId="0" borderId="0" xfId="0" applyNumberFormat="1" applyFont="1" applyFill="1" applyBorder="1"/>
    <xf numFmtId="172" fontId="9" fillId="8" borderId="10" xfId="2" applyNumberFormat="1" applyFont="1" applyFill="1" applyBorder="1" applyAlignment="1">
      <alignment horizontal="center"/>
    </xf>
    <xf numFmtId="172" fontId="2" fillId="0" borderId="0" xfId="0" applyNumberFormat="1" applyFont="1"/>
    <xf numFmtId="172" fontId="7" fillId="4" borderId="1" xfId="0" applyNumberFormat="1" applyFont="1" applyFill="1" applyBorder="1" applyAlignment="1">
      <alignment horizontal="center"/>
    </xf>
    <xf numFmtId="9" fontId="12" fillId="0" borderId="0" xfId="1" applyFont="1"/>
    <xf numFmtId="0" fontId="2" fillId="0" borderId="5" xfId="0" applyFont="1" applyBorder="1"/>
    <xf numFmtId="0" fontId="2" fillId="0" borderId="0" xfId="0" quotePrefix="1" applyFont="1"/>
    <xf numFmtId="0" fontId="15" fillId="0" borderId="0" xfId="0" applyFont="1"/>
    <xf numFmtId="167" fontId="21" fillId="0" borderId="0" xfId="0" applyNumberFormat="1" applyFont="1"/>
    <xf numFmtId="164" fontId="14" fillId="0" borderId="0" xfId="0" applyNumberFormat="1" applyFont="1"/>
    <xf numFmtId="39" fontId="2" fillId="0" borderId="0" xfId="0" applyNumberFormat="1" applyFont="1"/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8" fontId="9" fillId="0" borderId="0" xfId="0" applyNumberFormat="1" applyFont="1"/>
    <xf numFmtId="164" fontId="2" fillId="0" borderId="0" xfId="0" applyNumberFormat="1" applyFont="1" applyFill="1"/>
    <xf numFmtId="164" fontId="7" fillId="0" borderId="0" xfId="0" applyNumberFormat="1" applyFont="1" applyAlignment="1">
      <alignment horizontal="center"/>
    </xf>
    <xf numFmtId="164" fontId="7" fillId="0" borderId="4" xfId="0" applyNumberFormat="1" applyFont="1" applyBorder="1" applyAlignment="1">
      <alignment horizontal="right"/>
    </xf>
    <xf numFmtId="164" fontId="15" fillId="0" borderId="0" xfId="0" applyNumberFormat="1" applyFont="1" applyFill="1"/>
    <xf numFmtId="165" fontId="7" fillId="0" borderId="0" xfId="1" applyNumberFormat="1" applyFont="1"/>
    <xf numFmtId="167" fontId="15" fillId="0" borderId="0" xfId="1" applyNumberFormat="1" applyFont="1" applyAlignment="1">
      <alignment horizontal="center"/>
    </xf>
    <xf numFmtId="165" fontId="2" fillId="0" borderId="0" xfId="0" applyNumberFormat="1" applyFont="1"/>
    <xf numFmtId="166" fontId="7" fillId="0" borderId="0" xfId="1" applyNumberFormat="1" applyFont="1"/>
    <xf numFmtId="166" fontId="9" fillId="0" borderId="0" xfId="1" applyNumberFormat="1" applyFont="1"/>
    <xf numFmtId="168" fontId="2" fillId="0" borderId="0" xfId="0" applyNumberFormat="1" applyFont="1" applyAlignment="1">
      <alignment horizontal="right"/>
    </xf>
    <xf numFmtId="165" fontId="7" fillId="4" borderId="1" xfId="0" applyNumberFormat="1" applyFont="1" applyFill="1" applyBorder="1" applyAlignment="1">
      <alignment horizontal="center"/>
    </xf>
    <xf numFmtId="165" fontId="9" fillId="8" borderId="10" xfId="1" applyNumberFormat="1" applyFont="1" applyFill="1" applyBorder="1" applyAlignment="1">
      <alignment horizontal="center"/>
    </xf>
    <xf numFmtId="9" fontId="20" fillId="0" borderId="2" xfId="0" applyNumberFormat="1" applyFont="1" applyBorder="1"/>
    <xf numFmtId="9" fontId="20" fillId="0" borderId="3" xfId="0" applyNumberFormat="1" applyFont="1" applyBorder="1"/>
    <xf numFmtId="164" fontId="20" fillId="0" borderId="7" xfId="0" applyNumberFormat="1" applyFont="1" applyBorder="1"/>
    <xf numFmtId="164" fontId="20" fillId="0" borderId="8" xfId="0" applyNumberFormat="1" applyFont="1" applyBorder="1"/>
    <xf numFmtId="164" fontId="20" fillId="0" borderId="9" xfId="0" applyNumberFormat="1" applyFont="1" applyBorder="1"/>
    <xf numFmtId="9" fontId="20" fillId="0" borderId="4" xfId="0" applyNumberFormat="1" applyFont="1" applyBorder="1"/>
    <xf numFmtId="164" fontId="15" fillId="0" borderId="0" xfId="0" applyNumberFormat="1" applyFont="1" applyFill="1" applyAlignment="1">
      <alignment horizontal="center"/>
    </xf>
    <xf numFmtId="0" fontId="9" fillId="0" borderId="0" xfId="2" quotePrefix="1" applyFont="1"/>
    <xf numFmtId="14" fontId="9" fillId="4" borderId="1" xfId="0" applyNumberFormat="1" applyFont="1" applyFill="1" applyBorder="1" applyAlignment="1">
      <alignment horizontal="center"/>
    </xf>
    <xf numFmtId="14" fontId="7" fillId="4" borderId="1" xfId="0" applyNumberFormat="1" applyFont="1" applyFill="1" applyBorder="1" applyAlignment="1">
      <alignment horizontal="center"/>
    </xf>
    <xf numFmtId="14" fontId="9" fillId="8" borderId="10" xfId="1" applyNumberFormat="1" applyFont="1" applyFill="1" applyBorder="1" applyAlignment="1">
      <alignment horizontal="center"/>
    </xf>
    <xf numFmtId="168" fontId="9" fillId="8" borderId="10" xfId="1" applyNumberFormat="1" applyFont="1" applyFill="1" applyBorder="1" applyAlignment="1">
      <alignment horizontal="center"/>
    </xf>
    <xf numFmtId="168" fontId="7" fillId="4" borderId="1" xfId="0" applyNumberFormat="1" applyFont="1" applyFill="1" applyBorder="1" applyAlignment="1">
      <alignment horizontal="center"/>
    </xf>
    <xf numFmtId="14" fontId="9" fillId="8" borderId="10" xfId="2" applyNumberFormat="1" applyFont="1" applyFill="1" applyBorder="1" applyAlignment="1">
      <alignment horizontal="center"/>
    </xf>
    <xf numFmtId="14" fontId="15" fillId="0" borderId="0" xfId="0" applyNumberFormat="1" applyFont="1"/>
    <xf numFmtId="10" fontId="2" fillId="0" borderId="0" xfId="1" applyNumberFormat="1" applyFont="1"/>
    <xf numFmtId="10" fontId="7" fillId="4" borderId="1" xfId="1" applyNumberFormat="1" applyFont="1" applyFill="1" applyBorder="1" applyAlignment="1">
      <alignment horizontal="center"/>
    </xf>
    <xf numFmtId="169" fontId="15" fillId="0" borderId="6" xfId="0" applyNumberFormat="1" applyFont="1" applyBorder="1"/>
    <xf numFmtId="0" fontId="15" fillId="0" borderId="6" xfId="0" applyFont="1" applyBorder="1" applyAlignment="1">
      <alignment horizontal="right"/>
    </xf>
    <xf numFmtId="0" fontId="15" fillId="0" borderId="9" xfId="0" applyFont="1" applyBorder="1" applyAlignment="1">
      <alignment horizontal="right"/>
    </xf>
    <xf numFmtId="37" fontId="15" fillId="0" borderId="4" xfId="0" applyNumberFormat="1" applyFont="1" applyBorder="1" applyAlignment="1">
      <alignment horizontal="right"/>
    </xf>
    <xf numFmtId="168" fontId="15" fillId="0" borderId="0" xfId="0" applyNumberFormat="1" applyFont="1" applyAlignment="1">
      <alignment horizontal="center"/>
    </xf>
    <xf numFmtId="14" fontId="15" fillId="0" borderId="0" xfId="0" applyNumberFormat="1" applyFont="1" applyAlignment="1">
      <alignment horizontal="center"/>
    </xf>
    <xf numFmtId="2" fontId="2" fillId="0" borderId="0" xfId="0" applyNumberFormat="1" applyFont="1"/>
    <xf numFmtId="37" fontId="15" fillId="0" borderId="0" xfId="0" applyNumberFormat="1" applyFont="1"/>
    <xf numFmtId="165" fontId="2" fillId="0" borderId="0" xfId="0" applyNumberFormat="1" applyFont="1" applyAlignment="1">
      <alignment horizontal="center"/>
    </xf>
    <xf numFmtId="168" fontId="9" fillId="0" borderId="0" xfId="0" applyNumberFormat="1" applyFont="1" applyAlignment="1">
      <alignment horizontal="center"/>
    </xf>
    <xf numFmtId="168" fontId="9" fillId="0" borderId="0" xfId="0" applyNumberFormat="1" applyFont="1" applyAlignment="1">
      <alignment horizontal="right"/>
    </xf>
    <xf numFmtId="14" fontId="10" fillId="8" borderId="10" xfId="2" applyNumberFormat="1" applyFont="1" applyFill="1" applyBorder="1" applyAlignment="1">
      <alignment horizontal="center"/>
    </xf>
    <xf numFmtId="165" fontId="15" fillId="4" borderId="1" xfId="0" applyNumberFormat="1" applyFont="1" applyFill="1" applyBorder="1" applyAlignment="1">
      <alignment horizontal="center"/>
    </xf>
    <xf numFmtId="167" fontId="9" fillId="4" borderId="1" xfId="0" applyNumberFormat="1" applyFont="1" applyFill="1" applyBorder="1" applyAlignment="1">
      <alignment horizontal="center"/>
    </xf>
    <xf numFmtId="43" fontId="15" fillId="0" borderId="0" xfId="3" applyFont="1"/>
    <xf numFmtId="167" fontId="11" fillId="0" borderId="0" xfId="0" applyNumberFormat="1" applyFont="1"/>
    <xf numFmtId="2" fontId="7" fillId="0" borderId="0" xfId="0" applyNumberFormat="1" applyFont="1"/>
    <xf numFmtId="164" fontId="5" fillId="0" borderId="0" xfId="0" applyNumberFormat="1" applyFont="1"/>
    <xf numFmtId="167" fontId="15" fillId="4" borderId="1" xfId="0" applyNumberFormat="1" applyFont="1" applyFill="1" applyBorder="1" applyAlignment="1">
      <alignment horizontal="center"/>
    </xf>
    <xf numFmtId="167" fontId="4" fillId="3" borderId="0" xfId="1" applyNumberFormat="1" applyFont="1" applyFill="1" applyAlignment="1">
      <alignment horizontal="center"/>
    </xf>
    <xf numFmtId="165" fontId="4" fillId="3" borderId="0" xfId="0" applyNumberFormat="1" applyFont="1" applyFill="1" applyAlignment="1">
      <alignment horizontal="center"/>
    </xf>
    <xf numFmtId="14" fontId="6" fillId="3" borderId="0" xfId="0" applyNumberFormat="1" applyFont="1" applyFill="1"/>
    <xf numFmtId="167" fontId="10" fillId="0" borderId="0" xfId="2" applyNumberFormat="1" applyFont="1" applyAlignment="1">
      <alignment horizontal="center"/>
    </xf>
    <xf numFmtId="10" fontId="15" fillId="0" borderId="0" xfId="0" applyNumberFormat="1" applyFont="1" applyAlignment="1">
      <alignment horizontal="center"/>
    </xf>
    <xf numFmtId="164" fontId="19" fillId="0" borderId="0" xfId="0" applyNumberFormat="1" applyFont="1"/>
    <xf numFmtId="9" fontId="4" fillId="2" borderId="0" xfId="1" applyFont="1" applyFill="1" applyBorder="1"/>
    <xf numFmtId="164" fontId="23" fillId="0" borderId="0" xfId="0" applyNumberFormat="1" applyFont="1"/>
    <xf numFmtId="0" fontId="2" fillId="0" borderId="2" xfId="0" applyFont="1" applyBorder="1"/>
    <xf numFmtId="164" fontId="2" fillId="0" borderId="3" xfId="0" applyNumberFormat="1" applyFont="1" applyBorder="1"/>
    <xf numFmtId="167" fontId="2" fillId="0" borderId="4" xfId="1" applyNumberFormat="1" applyFont="1" applyBorder="1"/>
    <xf numFmtId="0" fontId="2" fillId="0" borderId="7" xfId="0" applyFont="1" applyBorder="1"/>
    <xf numFmtId="164" fontId="2" fillId="0" borderId="8" xfId="0" applyNumberFormat="1" applyFont="1" applyBorder="1"/>
    <xf numFmtId="167" fontId="2" fillId="0" borderId="9" xfId="1" applyNumberFormat="1" applyFont="1" applyBorder="1"/>
    <xf numFmtId="9" fontId="4" fillId="2" borderId="0" xfId="1" applyFont="1" applyFill="1"/>
    <xf numFmtId="167" fontId="2" fillId="5" borderId="0" xfId="1" applyNumberFormat="1" applyFont="1" applyFill="1"/>
    <xf numFmtId="167" fontId="2" fillId="0" borderId="0" xfId="1" applyNumberFormat="1" applyFont="1" applyBorder="1"/>
    <xf numFmtId="167" fontId="18" fillId="0" borderId="0" xfId="1" applyNumberFormat="1" applyFont="1" applyAlignment="1">
      <alignment horizontal="center"/>
    </xf>
    <xf numFmtId="0" fontId="3" fillId="0" borderId="0" xfId="0" applyFont="1" applyBorder="1" applyAlignment="1">
      <alignment horizontal="left" indent="1"/>
    </xf>
    <xf numFmtId="0" fontId="3" fillId="0" borderId="0" xfId="0" applyFont="1" applyBorder="1"/>
    <xf numFmtId="0" fontId="2" fillId="0" borderId="3" xfId="0" quotePrefix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8" xfId="0" quotePrefix="1" applyFont="1" applyBorder="1" applyAlignment="1">
      <alignment horizontal="center"/>
    </xf>
    <xf numFmtId="167" fontId="2" fillId="0" borderId="9" xfId="1" applyNumberFormat="1" applyFont="1" applyBorder="1" applyAlignment="1">
      <alignment horizontal="center"/>
    </xf>
    <xf numFmtId="167" fontId="2" fillId="0" borderId="6" xfId="1" applyNumberFormat="1" applyFont="1" applyBorder="1" applyAlignment="1">
      <alignment horizontal="center"/>
    </xf>
    <xf numFmtId="0" fontId="2" fillId="0" borderId="11" xfId="0" applyFont="1" applyBorder="1"/>
    <xf numFmtId="0" fontId="2" fillId="0" borderId="12" xfId="0" quotePrefix="1" applyFont="1" applyBorder="1" applyAlignment="1">
      <alignment horizontal="center"/>
    </xf>
    <xf numFmtId="167" fontId="2" fillId="0" borderId="13" xfId="1" applyNumberFormat="1" applyFont="1" applyBorder="1" applyAlignment="1">
      <alignment horizontal="center"/>
    </xf>
    <xf numFmtId="164" fontId="3" fillId="5" borderId="0" xfId="0" applyNumberFormat="1" applyFont="1" applyFill="1"/>
    <xf numFmtId="0" fontId="2" fillId="5" borderId="0" xfId="0" quotePrefix="1" applyFont="1" applyFill="1" applyAlignment="1">
      <alignment horizontal="center"/>
    </xf>
    <xf numFmtId="167" fontId="2" fillId="0" borderId="0" xfId="1" applyNumberFormat="1" applyFont="1" applyBorder="1" applyAlignment="1">
      <alignment horizontal="center"/>
    </xf>
    <xf numFmtId="166" fontId="10" fillId="0" borderId="0" xfId="1" applyNumberFormat="1" applyFont="1"/>
    <xf numFmtId="173" fontId="7" fillId="4" borderId="1" xfId="0" applyNumberFormat="1" applyFont="1" applyFill="1" applyBorder="1" applyAlignment="1">
      <alignment horizontal="center"/>
    </xf>
    <xf numFmtId="173" fontId="9" fillId="8" borderId="10" xfId="2" applyNumberFormat="1" applyFont="1" applyFill="1" applyBorder="1" applyAlignment="1">
      <alignment horizontal="center"/>
    </xf>
    <xf numFmtId="166" fontId="15" fillId="0" borderId="0" xfId="1" applyNumberFormat="1" applyFont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37" fontId="9" fillId="0" borderId="0" xfId="0" applyNumberFormat="1" applyFont="1"/>
    <xf numFmtId="37" fontId="10" fillId="0" borderId="0" xfId="0" applyNumberFormat="1" applyFont="1"/>
    <xf numFmtId="0" fontId="8" fillId="0" borderId="0" xfId="0" applyFont="1" applyAlignment="1">
      <alignment horizontal="center"/>
    </xf>
    <xf numFmtId="174" fontId="3" fillId="0" borderId="0" xfId="0" applyNumberFormat="1" applyFont="1" applyAlignment="1">
      <alignment horizontal="center"/>
    </xf>
    <xf numFmtId="175" fontId="3" fillId="0" borderId="0" xfId="0" applyNumberFormat="1" applyFont="1" applyAlignment="1">
      <alignment horizontal="center"/>
    </xf>
    <xf numFmtId="9" fontId="13" fillId="0" borderId="0" xfId="1" applyNumberFormat="1" applyFont="1"/>
    <xf numFmtId="0" fontId="5" fillId="0" borderId="0" xfId="0" applyFont="1"/>
    <xf numFmtId="167" fontId="9" fillId="0" borderId="0" xfId="1" applyNumberFormat="1" applyFont="1" applyAlignment="1">
      <alignment horizontal="right"/>
    </xf>
    <xf numFmtId="168" fontId="9" fillId="10" borderId="0" xfId="0" applyNumberFormat="1" applyFont="1" applyFill="1"/>
    <xf numFmtId="167" fontId="4" fillId="2" borderId="0" xfId="1" applyNumberFormat="1" applyFont="1" applyFill="1" applyBorder="1"/>
    <xf numFmtId="0" fontId="7" fillId="0" borderId="0" xfId="0" applyFont="1"/>
    <xf numFmtId="9" fontId="2" fillId="0" borderId="0" xfId="0" applyNumberFormat="1" applyFont="1"/>
    <xf numFmtId="167" fontId="7" fillId="0" borderId="0" xfId="0" applyNumberFormat="1" applyFont="1" applyAlignment="1">
      <alignment horizontal="center"/>
    </xf>
    <xf numFmtId="167" fontId="2" fillId="0" borderId="0" xfId="1" applyNumberFormat="1" applyFont="1" applyAlignment="1">
      <alignment horizontal="right"/>
    </xf>
    <xf numFmtId="167" fontId="11" fillId="0" borderId="0" xfId="1" applyNumberFormat="1" applyFont="1" applyAlignment="1">
      <alignment horizontal="right"/>
    </xf>
    <xf numFmtId="164" fontId="9" fillId="0" borderId="0" xfId="0" applyNumberFormat="1" applyFont="1" applyBorder="1"/>
    <xf numFmtId="171" fontId="7" fillId="0" borderId="0" xfId="0" applyNumberFormat="1" applyFont="1"/>
    <xf numFmtId="167" fontId="7" fillId="0" borderId="0" xfId="1" applyNumberFormat="1" applyFont="1"/>
    <xf numFmtId="164" fontId="10" fillId="0" borderId="0" xfId="0" applyNumberFormat="1" applyFont="1" applyBorder="1"/>
    <xf numFmtId="10" fontId="12" fillId="0" borderId="0" xfId="1" applyNumberFormat="1" applyFont="1"/>
    <xf numFmtId="10" fontId="13" fillId="0" borderId="0" xfId="1" applyNumberFormat="1" applyFont="1"/>
    <xf numFmtId="9" fontId="15" fillId="0" borderId="0" xfId="0" applyNumberFormat="1" applyFont="1" applyAlignment="1">
      <alignment horizontal="center"/>
    </xf>
    <xf numFmtId="167" fontId="24" fillId="0" borderId="0" xfId="1" applyNumberFormat="1" applyFont="1"/>
    <xf numFmtId="165" fontId="22" fillId="0" borderId="0" xfId="1" applyNumberFormat="1" applyFont="1"/>
    <xf numFmtId="167" fontId="12" fillId="0" borderId="0" xfId="1" applyNumberFormat="1" applyFont="1" applyAlignment="1">
      <alignment horizontal="center"/>
    </xf>
    <xf numFmtId="167" fontId="12" fillId="0" borderId="0" xfId="0" applyNumberFormat="1" applyFont="1"/>
    <xf numFmtId="39" fontId="20" fillId="0" borderId="0" xfId="0" applyNumberFormat="1" applyFont="1" applyFill="1"/>
    <xf numFmtId="39" fontId="10" fillId="0" borderId="0" xfId="0" applyNumberFormat="1" applyFont="1"/>
    <xf numFmtId="39" fontId="10" fillId="0" borderId="0" xfId="0" applyNumberFormat="1" applyFont="1" applyFill="1"/>
    <xf numFmtId="2" fontId="20" fillId="0" borderId="0" xfId="0" applyNumberFormat="1" applyFont="1"/>
    <xf numFmtId="165" fontId="13" fillId="0" borderId="0" xfId="1" applyNumberFormat="1" applyFont="1"/>
    <xf numFmtId="9" fontId="13" fillId="0" borderId="0" xfId="1" applyFont="1"/>
    <xf numFmtId="167" fontId="19" fillId="0" borderId="0" xfId="1" applyNumberFormat="1" applyFont="1" applyAlignment="1">
      <alignment horizontal="center"/>
    </xf>
    <xf numFmtId="9" fontId="10" fillId="0" borderId="0" xfId="1" applyFont="1"/>
    <xf numFmtId="167" fontId="19" fillId="0" borderId="0" xfId="1" applyNumberFormat="1" applyFont="1" applyFill="1"/>
    <xf numFmtId="165" fontId="11" fillId="0" borderId="0" xfId="0" applyNumberFormat="1" applyFont="1"/>
    <xf numFmtId="39" fontId="20" fillId="0" borderId="0" xfId="0" applyNumberFormat="1" applyFont="1" applyBorder="1"/>
    <xf numFmtId="0" fontId="2" fillId="0" borderId="6" xfId="0" applyFont="1" applyBorder="1" applyAlignment="1">
      <alignment horizontal="center"/>
    </xf>
    <xf numFmtId="0" fontId="2" fillId="0" borderId="6" xfId="0" applyFont="1" applyBorder="1"/>
    <xf numFmtId="39" fontId="15" fillId="0" borderId="6" xfId="0" applyNumberFormat="1" applyFont="1" applyBorder="1"/>
    <xf numFmtId="167" fontId="9" fillId="0" borderId="6" xfId="0" applyNumberFormat="1" applyFont="1" applyBorder="1"/>
    <xf numFmtId="164" fontId="15" fillId="0" borderId="6" xfId="0" applyNumberFormat="1" applyFont="1" applyBorder="1"/>
    <xf numFmtId="164" fontId="15" fillId="0" borderId="6" xfId="0" applyNumberFormat="1" applyFont="1" applyFill="1" applyBorder="1"/>
    <xf numFmtId="164" fontId="22" fillId="0" borderId="0" xfId="0" applyNumberFormat="1" applyFont="1" applyBorder="1"/>
    <xf numFmtId="164" fontId="3" fillId="0" borderId="6" xfId="0" applyNumberFormat="1" applyFont="1" applyBorder="1"/>
    <xf numFmtId="9" fontId="2" fillId="0" borderId="6" xfId="0" applyNumberFormat="1" applyFont="1" applyBorder="1"/>
    <xf numFmtId="164" fontId="2" fillId="0" borderId="6" xfId="0" applyNumberFormat="1" applyFont="1" applyBorder="1"/>
    <xf numFmtId="164" fontId="10" fillId="0" borderId="6" xfId="0" applyNumberFormat="1" applyFont="1" applyBorder="1"/>
    <xf numFmtId="167" fontId="11" fillId="0" borderId="6" xfId="1" applyNumberFormat="1" applyFont="1" applyBorder="1"/>
    <xf numFmtId="171" fontId="20" fillId="0" borderId="0" xfId="0" applyNumberFormat="1" applyFont="1" applyFill="1"/>
    <xf numFmtId="1" fontId="20" fillId="0" borderId="0" xfId="0" applyNumberFormat="1" applyFont="1" applyFill="1"/>
    <xf numFmtId="164" fontId="20" fillId="0" borderId="0" xfId="0" applyNumberFormat="1" applyFont="1" applyFill="1" applyBorder="1"/>
    <xf numFmtId="167" fontId="2" fillId="0" borderId="4" xfId="1" applyNumberFormat="1" applyFont="1" applyBorder="1" applyAlignment="1">
      <alignment horizontal="center"/>
    </xf>
    <xf numFmtId="176" fontId="3" fillId="0" borderId="0" xfId="0" applyNumberFormat="1" applyFont="1" applyAlignment="1">
      <alignment horizontal="center"/>
    </xf>
    <xf numFmtId="0" fontId="7" fillId="4" borderId="1" xfId="2" applyFont="1" applyFill="1" applyBorder="1" applyAlignment="1">
      <alignment horizontal="center" vertical="center" wrapText="1"/>
    </xf>
    <xf numFmtId="1" fontId="2" fillId="0" borderId="9" xfId="1" applyNumberFormat="1" applyFont="1" applyBorder="1" applyAlignment="1">
      <alignment horizontal="center"/>
    </xf>
    <xf numFmtId="171" fontId="7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left" indent="1"/>
    </xf>
    <xf numFmtId="0" fontId="3" fillId="0" borderId="0" xfId="0" applyFont="1" applyFill="1"/>
    <xf numFmtId="164" fontId="3" fillId="0" borderId="0" xfId="0" applyNumberFormat="1" applyFont="1" applyFill="1"/>
    <xf numFmtId="0" fontId="7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170" fontId="15" fillId="0" borderId="0" xfId="0" applyNumberFormat="1" applyFont="1"/>
    <xf numFmtId="0" fontId="18" fillId="5" borderId="0" xfId="0" applyFont="1" applyFill="1" applyAlignment="1">
      <alignment horizontal="center"/>
    </xf>
    <xf numFmtId="0" fontId="18" fillId="0" borderId="0" xfId="0" applyFont="1"/>
    <xf numFmtId="0" fontId="19" fillId="0" borderId="0" xfId="0" applyFont="1"/>
    <xf numFmtId="0" fontId="7" fillId="6" borderId="1" xfId="0" applyFont="1" applyFill="1" applyBorder="1" applyAlignment="1">
      <alignment horizontal="center"/>
    </xf>
    <xf numFmtId="167" fontId="19" fillId="0" borderId="0" xfId="0" applyNumberFormat="1" applyFont="1"/>
    <xf numFmtId="14" fontId="9" fillId="0" borderId="0" xfId="0" applyNumberFormat="1" applyFont="1" applyFill="1" applyBorder="1" applyAlignment="1">
      <alignment horizontal="center"/>
    </xf>
    <xf numFmtId="14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8" fontId="7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172" fontId="7" fillId="0" borderId="0" xfId="0" applyNumberFormat="1" applyFont="1" applyFill="1" applyBorder="1" applyAlignment="1">
      <alignment horizontal="center"/>
    </xf>
    <xf numFmtId="10" fontId="7" fillId="0" borderId="0" xfId="0" applyNumberFormat="1" applyFont="1" applyFill="1" applyBorder="1" applyAlignment="1">
      <alignment horizontal="center"/>
    </xf>
    <xf numFmtId="173" fontId="7" fillId="0" borderId="0" xfId="0" applyNumberFormat="1" applyFont="1" applyFill="1" applyBorder="1" applyAlignment="1">
      <alignment horizontal="center"/>
    </xf>
    <xf numFmtId="10" fontId="7" fillId="0" borderId="0" xfId="1" applyNumberFormat="1" applyFont="1" applyFill="1" applyBorder="1" applyAlignment="1">
      <alignment horizontal="center"/>
    </xf>
    <xf numFmtId="0" fontId="7" fillId="0" borderId="1" xfId="2" applyFont="1" applyFill="1" applyBorder="1" applyAlignment="1">
      <alignment horizontal="center" vertical="center" wrapText="1"/>
    </xf>
    <xf numFmtId="172" fontId="9" fillId="8" borderId="14" xfId="2" applyNumberFormat="1" applyFont="1" applyFill="1" applyBorder="1" applyAlignment="1">
      <alignment horizontal="center"/>
    </xf>
    <xf numFmtId="0" fontId="5" fillId="2" borderId="0" xfId="0" applyFont="1" applyFill="1"/>
    <xf numFmtId="9" fontId="15" fillId="0" borderId="0" xfId="1" applyFont="1"/>
    <xf numFmtId="164" fontId="15" fillId="0" borderId="6" xfId="0" applyNumberFormat="1" applyFont="1" applyBorder="1" applyAlignment="1">
      <alignment horizontal="right"/>
    </xf>
    <xf numFmtId="0" fontId="13" fillId="0" borderId="0" xfId="0" applyFont="1"/>
    <xf numFmtId="0" fontId="13" fillId="0" borderId="0" xfId="0" quotePrefix="1" applyFont="1" applyAlignment="1">
      <alignment horizontal="center"/>
    </xf>
    <xf numFmtId="164" fontId="13" fillId="0" borderId="0" xfId="0" applyNumberFormat="1" applyFont="1"/>
    <xf numFmtId="0" fontId="10" fillId="0" borderId="0" xfId="0" applyFont="1"/>
    <xf numFmtId="0" fontId="9" fillId="0" borderId="0" xfId="0" applyFont="1"/>
    <xf numFmtId="0" fontId="9" fillId="0" borderId="0" xfId="0" quotePrefix="1" applyFont="1" applyAlignment="1">
      <alignment horizontal="center"/>
    </xf>
    <xf numFmtId="165" fontId="9" fillId="0" borderId="0" xfId="0" applyNumberFormat="1" applyFont="1"/>
    <xf numFmtId="167" fontId="10" fillId="0" borderId="0" xfId="1" applyNumberFormat="1" applyFont="1"/>
    <xf numFmtId="0" fontId="10" fillId="5" borderId="0" xfId="0" applyFont="1" applyFill="1"/>
    <xf numFmtId="164" fontId="10" fillId="5" borderId="0" xfId="0" applyNumberFormat="1" applyFont="1" applyFill="1"/>
    <xf numFmtId="0" fontId="10" fillId="2" borderId="0" xfId="0" applyFont="1" applyFill="1"/>
    <xf numFmtId="0" fontId="10" fillId="0" borderId="0" xfId="0" applyFont="1" applyAlignment="1">
      <alignment horizontal="left" indent="1"/>
    </xf>
    <xf numFmtId="0" fontId="10" fillId="0" borderId="0" xfId="0" quotePrefix="1" applyFont="1" applyAlignment="1">
      <alignment horizontal="center"/>
    </xf>
    <xf numFmtId="9" fontId="7" fillId="0" borderId="0" xfId="0" applyNumberFormat="1" applyFont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4" fillId="5" borderId="0" xfId="0" applyFont="1" applyFill="1"/>
    <xf numFmtId="0" fontId="5" fillId="5" borderId="0" xfId="0" applyFont="1" applyFill="1"/>
    <xf numFmtId="0" fontId="4" fillId="5" borderId="0" xfId="0" applyFont="1" applyFill="1" applyAlignment="1">
      <alignment horizontal="center"/>
    </xf>
    <xf numFmtId="43" fontId="2" fillId="0" borderId="0" xfId="0" applyNumberFormat="1" applyFont="1"/>
    <xf numFmtId="164" fontId="2" fillId="0" borderId="4" xfId="0" applyNumberFormat="1" applyFont="1" applyBorder="1" applyAlignment="1">
      <alignment horizontal="center"/>
    </xf>
    <xf numFmtId="168" fontId="9" fillId="0" borderId="6" xfId="0" applyNumberFormat="1" applyFont="1" applyBorder="1" applyAlignment="1">
      <alignment horizontal="center"/>
    </xf>
    <xf numFmtId="167" fontId="9" fillId="0" borderId="9" xfId="1" applyNumberFormat="1" applyFont="1" applyBorder="1" applyAlignment="1">
      <alignment horizontal="center"/>
    </xf>
  </cellXfs>
  <cellStyles count="4">
    <cellStyle name="Comma" xfId="3" builtinId="3"/>
    <cellStyle name="Normal" xfId="0" builtinId="0"/>
    <cellStyle name="Normal 10" xfId="2" xr:uid="{DC0C8242-A01D-4E27-9F1E-D5E153E30AE0}"/>
    <cellStyle name="Percent" xfId="1" builtinId="5"/>
  </cellStyles>
  <dxfs count="56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Stock!$F$1</c:f>
              <c:strCache>
                <c:ptCount val="1"/>
                <c:pt idx="0">
                  <c:v>Hidrovias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Stock!$A$2:$A$125</c:f>
              <c:numCache>
                <c:formatCode>m/d/yyyy</c:formatCode>
                <c:ptCount val="124"/>
                <c:pt idx="0">
                  <c:v>44099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44109</c:v>
                </c:pt>
                <c:pt idx="7">
                  <c:v>44110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44130</c:v>
                </c:pt>
                <c:pt idx="21">
                  <c:v>44131</c:v>
                </c:pt>
                <c:pt idx="22">
                  <c:v>44132</c:v>
                </c:pt>
                <c:pt idx="23">
                  <c:v>44133</c:v>
                </c:pt>
                <c:pt idx="24">
                  <c:v>44134</c:v>
                </c:pt>
                <c:pt idx="25">
                  <c:v>44138</c:v>
                </c:pt>
                <c:pt idx="26">
                  <c:v>44139</c:v>
                </c:pt>
                <c:pt idx="27">
                  <c:v>44140</c:v>
                </c:pt>
                <c:pt idx="28">
                  <c:v>44141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44151</c:v>
                </c:pt>
                <c:pt idx="35">
                  <c:v>44152</c:v>
                </c:pt>
                <c:pt idx="36">
                  <c:v>44153</c:v>
                </c:pt>
                <c:pt idx="37">
                  <c:v>44154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  <c:pt idx="44">
                  <c:v>44166</c:v>
                </c:pt>
                <c:pt idx="45">
                  <c:v>44167</c:v>
                </c:pt>
                <c:pt idx="46">
                  <c:v>44168</c:v>
                </c:pt>
                <c:pt idx="47">
                  <c:v>44169</c:v>
                </c:pt>
                <c:pt idx="48">
                  <c:v>44172</c:v>
                </c:pt>
                <c:pt idx="49">
                  <c:v>44173</c:v>
                </c:pt>
                <c:pt idx="50">
                  <c:v>44174</c:v>
                </c:pt>
                <c:pt idx="51">
                  <c:v>44175</c:v>
                </c:pt>
                <c:pt idx="52">
                  <c:v>44176</c:v>
                </c:pt>
                <c:pt idx="53">
                  <c:v>44179</c:v>
                </c:pt>
                <c:pt idx="54">
                  <c:v>44180</c:v>
                </c:pt>
                <c:pt idx="55">
                  <c:v>44181</c:v>
                </c:pt>
                <c:pt idx="56">
                  <c:v>44182</c:v>
                </c:pt>
                <c:pt idx="57">
                  <c:v>44183</c:v>
                </c:pt>
                <c:pt idx="58">
                  <c:v>44186</c:v>
                </c:pt>
                <c:pt idx="59">
                  <c:v>44187</c:v>
                </c:pt>
                <c:pt idx="60">
                  <c:v>44188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44207</c:v>
                </c:pt>
                <c:pt idx="70">
                  <c:v>44208</c:v>
                </c:pt>
                <c:pt idx="71">
                  <c:v>44209</c:v>
                </c:pt>
                <c:pt idx="72">
                  <c:v>44210</c:v>
                </c:pt>
                <c:pt idx="73">
                  <c:v>44211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44222</c:v>
                </c:pt>
                <c:pt idx="80">
                  <c:v>44223</c:v>
                </c:pt>
                <c:pt idx="81">
                  <c:v>44224</c:v>
                </c:pt>
                <c:pt idx="82">
                  <c:v>44225</c:v>
                </c:pt>
                <c:pt idx="83">
                  <c:v>44228</c:v>
                </c:pt>
                <c:pt idx="84">
                  <c:v>44229</c:v>
                </c:pt>
                <c:pt idx="85">
                  <c:v>44230</c:v>
                </c:pt>
                <c:pt idx="86">
                  <c:v>44231</c:v>
                </c:pt>
                <c:pt idx="87">
                  <c:v>44232</c:v>
                </c:pt>
                <c:pt idx="88">
                  <c:v>44235</c:v>
                </c:pt>
                <c:pt idx="89">
                  <c:v>44236</c:v>
                </c:pt>
                <c:pt idx="90">
                  <c:v>44237</c:v>
                </c:pt>
                <c:pt idx="91">
                  <c:v>44238</c:v>
                </c:pt>
                <c:pt idx="92">
                  <c:v>44239</c:v>
                </c:pt>
                <c:pt idx="93">
                  <c:v>44245</c:v>
                </c:pt>
                <c:pt idx="94">
                  <c:v>44246</c:v>
                </c:pt>
                <c:pt idx="95">
                  <c:v>44249</c:v>
                </c:pt>
                <c:pt idx="96">
                  <c:v>44250</c:v>
                </c:pt>
                <c:pt idx="97">
                  <c:v>44251</c:v>
                </c:pt>
                <c:pt idx="98">
                  <c:v>44252</c:v>
                </c:pt>
                <c:pt idx="99">
                  <c:v>44253</c:v>
                </c:pt>
                <c:pt idx="100">
                  <c:v>44256</c:v>
                </c:pt>
                <c:pt idx="101">
                  <c:v>44257</c:v>
                </c:pt>
                <c:pt idx="102">
                  <c:v>44258</c:v>
                </c:pt>
                <c:pt idx="103">
                  <c:v>44259</c:v>
                </c:pt>
                <c:pt idx="104">
                  <c:v>44260</c:v>
                </c:pt>
                <c:pt idx="105">
                  <c:v>44263</c:v>
                </c:pt>
                <c:pt idx="106">
                  <c:v>44264</c:v>
                </c:pt>
                <c:pt idx="107">
                  <c:v>44265</c:v>
                </c:pt>
                <c:pt idx="108">
                  <c:v>44266</c:v>
                </c:pt>
                <c:pt idx="109">
                  <c:v>44267</c:v>
                </c:pt>
                <c:pt idx="110">
                  <c:v>44270</c:v>
                </c:pt>
                <c:pt idx="111">
                  <c:v>44271</c:v>
                </c:pt>
                <c:pt idx="112">
                  <c:v>44272</c:v>
                </c:pt>
                <c:pt idx="113">
                  <c:v>44273</c:v>
                </c:pt>
                <c:pt idx="114">
                  <c:v>44274</c:v>
                </c:pt>
                <c:pt idx="115">
                  <c:v>44277</c:v>
                </c:pt>
                <c:pt idx="116">
                  <c:v>44278</c:v>
                </c:pt>
                <c:pt idx="117">
                  <c:v>44279</c:v>
                </c:pt>
                <c:pt idx="118">
                  <c:v>44280</c:v>
                </c:pt>
                <c:pt idx="119">
                  <c:v>44281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</c:numCache>
            </c:numRef>
          </c:cat>
          <c:val>
            <c:numRef>
              <c:f>Stock!$F$2:$F$125</c:f>
              <c:numCache>
                <c:formatCode>0%</c:formatCode>
                <c:ptCount val="124"/>
                <c:pt idx="0">
                  <c:v>0</c:v>
                </c:pt>
                <c:pt idx="1">
                  <c:v>-2.695417789757415E-2</c:v>
                </c:pt>
                <c:pt idx="2">
                  <c:v>-4.9865229110512166E-2</c:v>
                </c:pt>
                <c:pt idx="3">
                  <c:v>-2.2911051212938016E-2</c:v>
                </c:pt>
                <c:pt idx="4">
                  <c:v>-1.3477088948786964E-2</c:v>
                </c:pt>
                <c:pt idx="5">
                  <c:v>-3.7735849056603765E-2</c:v>
                </c:pt>
                <c:pt idx="6">
                  <c:v>-4.9865229110512166E-2</c:v>
                </c:pt>
                <c:pt idx="7">
                  <c:v>-6.334231805929913E-2</c:v>
                </c:pt>
                <c:pt idx="8">
                  <c:v>-0.10377358490566035</c:v>
                </c:pt>
                <c:pt idx="9">
                  <c:v>-9.8382749326145547E-2</c:v>
                </c:pt>
                <c:pt idx="10">
                  <c:v>-9.0296495956873279E-2</c:v>
                </c:pt>
                <c:pt idx="11">
                  <c:v>-0.10916442048517516</c:v>
                </c:pt>
                <c:pt idx="12">
                  <c:v>-8.3557951482479798E-2</c:v>
                </c:pt>
                <c:pt idx="13">
                  <c:v>-6.8733153638813937E-2</c:v>
                </c:pt>
                <c:pt idx="14">
                  <c:v>-7.1428571428571508E-2</c:v>
                </c:pt>
                <c:pt idx="15">
                  <c:v>-8.3557951482479798E-2</c:v>
                </c:pt>
                <c:pt idx="16">
                  <c:v>-9.0296495956873279E-2</c:v>
                </c:pt>
                <c:pt idx="17">
                  <c:v>-0.10916442048517516</c:v>
                </c:pt>
                <c:pt idx="18">
                  <c:v>-0.10916442048517516</c:v>
                </c:pt>
                <c:pt idx="19">
                  <c:v>-7.6819407008086316E-2</c:v>
                </c:pt>
                <c:pt idx="20">
                  <c:v>-9.1644204851751954E-2</c:v>
                </c:pt>
                <c:pt idx="21">
                  <c:v>-0.11590296495956875</c:v>
                </c:pt>
                <c:pt idx="22">
                  <c:v>-0.17115902964959562</c:v>
                </c:pt>
                <c:pt idx="23">
                  <c:v>-0.16981132075471694</c:v>
                </c:pt>
                <c:pt idx="24">
                  <c:v>-0.20485175202156325</c:v>
                </c:pt>
                <c:pt idx="25">
                  <c:v>-0.1307277628032345</c:v>
                </c:pt>
                <c:pt idx="26">
                  <c:v>-0.11994609164420478</c:v>
                </c:pt>
                <c:pt idx="27">
                  <c:v>-0.11051212938005395</c:v>
                </c:pt>
                <c:pt idx="28">
                  <c:v>-0.10646900269541781</c:v>
                </c:pt>
                <c:pt idx="29">
                  <c:v>-0.11590296495956875</c:v>
                </c:pt>
                <c:pt idx="30">
                  <c:v>-0.13342318059299196</c:v>
                </c:pt>
                <c:pt idx="31">
                  <c:v>-0.13746630727762799</c:v>
                </c:pt>
                <c:pt idx="32">
                  <c:v>-0.14016172506738545</c:v>
                </c:pt>
                <c:pt idx="33">
                  <c:v>-0.15094339622641506</c:v>
                </c:pt>
                <c:pt idx="34">
                  <c:v>-0.16442048517520214</c:v>
                </c:pt>
                <c:pt idx="35">
                  <c:v>-0.15363881401617252</c:v>
                </c:pt>
                <c:pt idx="36">
                  <c:v>-0.14420485175202158</c:v>
                </c:pt>
                <c:pt idx="37">
                  <c:v>-0.1307277628032345</c:v>
                </c:pt>
                <c:pt idx="38">
                  <c:v>-0.1307277628032345</c:v>
                </c:pt>
                <c:pt idx="39">
                  <c:v>-0.11994609164420478</c:v>
                </c:pt>
                <c:pt idx="40">
                  <c:v>-9.2991913746630628E-2</c:v>
                </c:pt>
                <c:pt idx="41">
                  <c:v>-9.0296495956873279E-2</c:v>
                </c:pt>
                <c:pt idx="42">
                  <c:v>-6.334231805929913E-2</c:v>
                </c:pt>
                <c:pt idx="43">
                  <c:v>-7.1428571428571508E-2</c:v>
                </c:pt>
                <c:pt idx="44">
                  <c:v>-5.3908355795148077E-3</c:v>
                </c:pt>
                <c:pt idx="45">
                  <c:v>1.8867924528301883E-2</c:v>
                </c:pt>
                <c:pt idx="46">
                  <c:v>2.6954177897575704E-3</c:v>
                </c:pt>
                <c:pt idx="47">
                  <c:v>-3.638814016172498E-2</c:v>
                </c:pt>
                <c:pt idx="48">
                  <c:v>-5.6603773584905648E-2</c:v>
                </c:pt>
                <c:pt idx="49">
                  <c:v>-7.9514824797843664E-2</c:v>
                </c:pt>
                <c:pt idx="50">
                  <c:v>-0.11590296495956875</c:v>
                </c:pt>
                <c:pt idx="51">
                  <c:v>-0.11455525606468997</c:v>
                </c:pt>
                <c:pt idx="52">
                  <c:v>-0.1132075471698113</c:v>
                </c:pt>
                <c:pt idx="53">
                  <c:v>-0.12129380053908356</c:v>
                </c:pt>
                <c:pt idx="54">
                  <c:v>-0.11725067385444743</c:v>
                </c:pt>
                <c:pt idx="55">
                  <c:v>-0.11051212938005395</c:v>
                </c:pt>
                <c:pt idx="56">
                  <c:v>-0.10781671159029649</c:v>
                </c:pt>
                <c:pt idx="57">
                  <c:v>-9.2991913746630628E-2</c:v>
                </c:pt>
                <c:pt idx="58">
                  <c:v>-0.10242587601078168</c:v>
                </c:pt>
                <c:pt idx="59">
                  <c:v>-8.7601078167115931E-2</c:v>
                </c:pt>
                <c:pt idx="60">
                  <c:v>-7.4123989218328856E-2</c:v>
                </c:pt>
                <c:pt idx="61">
                  <c:v>-7.547169811320753E-2</c:v>
                </c:pt>
                <c:pt idx="62">
                  <c:v>-7.547169811320753E-2</c:v>
                </c:pt>
                <c:pt idx="63">
                  <c:v>-7.0080862533692612E-2</c:v>
                </c:pt>
                <c:pt idx="64">
                  <c:v>-0.10916442048517516</c:v>
                </c:pt>
                <c:pt idx="65">
                  <c:v>-0.10242587601078168</c:v>
                </c:pt>
                <c:pt idx="66">
                  <c:v>-0.12668463611859837</c:v>
                </c:pt>
                <c:pt idx="67">
                  <c:v>-0.16442048517520214</c:v>
                </c:pt>
                <c:pt idx="68">
                  <c:v>-0.14150943396226412</c:v>
                </c:pt>
                <c:pt idx="69">
                  <c:v>-0.14959568733153639</c:v>
                </c:pt>
                <c:pt idx="70">
                  <c:v>-0.1307277628032345</c:v>
                </c:pt>
                <c:pt idx="71">
                  <c:v>-9.0296495956873279E-2</c:v>
                </c:pt>
                <c:pt idx="72">
                  <c:v>-7.6819407008086316E-2</c:v>
                </c:pt>
                <c:pt idx="73">
                  <c:v>-8.3557951482479798E-2</c:v>
                </c:pt>
                <c:pt idx="74">
                  <c:v>-5.5256064690026974E-2</c:v>
                </c:pt>
                <c:pt idx="75">
                  <c:v>-1.482479784366586E-2</c:v>
                </c:pt>
                <c:pt idx="76">
                  <c:v>-8.0862533692721561E-3</c:v>
                </c:pt>
                <c:pt idx="77">
                  <c:v>1.3477088948787852E-3</c:v>
                </c:pt>
                <c:pt idx="78">
                  <c:v>-2.2911051212938016E-2</c:v>
                </c:pt>
                <c:pt idx="79">
                  <c:v>-6.1994609164420456E-2</c:v>
                </c:pt>
                <c:pt idx="80">
                  <c:v>-6.4690026954177804E-2</c:v>
                </c:pt>
                <c:pt idx="81">
                  <c:v>-6.0646900269541781E-2</c:v>
                </c:pt>
                <c:pt idx="82">
                  <c:v>-9.7035040431266761E-2</c:v>
                </c:pt>
                <c:pt idx="83">
                  <c:v>-8.4905660377358472E-2</c:v>
                </c:pt>
                <c:pt idx="84">
                  <c:v>-8.7601078167115931E-2</c:v>
                </c:pt>
                <c:pt idx="85">
                  <c:v>-9.4339622641509413E-2</c:v>
                </c:pt>
                <c:pt idx="86">
                  <c:v>-0.10242587601078168</c:v>
                </c:pt>
                <c:pt idx="87">
                  <c:v>-0.10512129380053914</c:v>
                </c:pt>
                <c:pt idx="88">
                  <c:v>-0.12398921832884091</c:v>
                </c:pt>
                <c:pt idx="89">
                  <c:v>-0.13746630727762799</c:v>
                </c:pt>
                <c:pt idx="90">
                  <c:v>-0.1482479784366576</c:v>
                </c:pt>
                <c:pt idx="91">
                  <c:v>-0.13207547169811318</c:v>
                </c:pt>
                <c:pt idx="92">
                  <c:v>-0.12668463611859837</c:v>
                </c:pt>
                <c:pt idx="93">
                  <c:v>-0.11051212938005395</c:v>
                </c:pt>
                <c:pt idx="94">
                  <c:v>-9.7035040431266761E-2</c:v>
                </c:pt>
                <c:pt idx="95">
                  <c:v>-7.6819407008086316E-2</c:v>
                </c:pt>
                <c:pt idx="96">
                  <c:v>-8.3557951482479798E-2</c:v>
                </c:pt>
                <c:pt idx="97">
                  <c:v>-7.547169811320753E-2</c:v>
                </c:pt>
                <c:pt idx="98">
                  <c:v>-0.11725067385444743</c:v>
                </c:pt>
                <c:pt idx="99">
                  <c:v>-0.13207547169811318</c:v>
                </c:pt>
                <c:pt idx="100">
                  <c:v>-0.15768194070080865</c:v>
                </c:pt>
                <c:pt idx="101">
                  <c:v>-0.17789757412398921</c:v>
                </c:pt>
                <c:pt idx="102">
                  <c:v>-0.17385444743935308</c:v>
                </c:pt>
                <c:pt idx="103">
                  <c:v>-0.16576819407008081</c:v>
                </c:pt>
                <c:pt idx="104">
                  <c:v>-0.19676549865229109</c:v>
                </c:pt>
                <c:pt idx="105">
                  <c:v>-0.27358490566037741</c:v>
                </c:pt>
                <c:pt idx="106">
                  <c:v>-0.27762803234501343</c:v>
                </c:pt>
                <c:pt idx="107">
                  <c:v>-0.29245283018867929</c:v>
                </c:pt>
                <c:pt idx="108">
                  <c:v>-0.27897574123989222</c:v>
                </c:pt>
                <c:pt idx="109">
                  <c:v>-0.27493261455525608</c:v>
                </c:pt>
                <c:pt idx="110">
                  <c:v>-0.23584905660377353</c:v>
                </c:pt>
                <c:pt idx="111">
                  <c:v>-0.23450134770889486</c:v>
                </c:pt>
                <c:pt idx="112">
                  <c:v>-0.2439353099730458</c:v>
                </c:pt>
                <c:pt idx="113">
                  <c:v>-0.22371967654986524</c:v>
                </c:pt>
                <c:pt idx="114">
                  <c:v>-0.21293800539083563</c:v>
                </c:pt>
                <c:pt idx="115">
                  <c:v>-0.21967654986522911</c:v>
                </c:pt>
                <c:pt idx="116">
                  <c:v>-0.23045822102425872</c:v>
                </c:pt>
                <c:pt idx="117">
                  <c:v>-0.22911051212938005</c:v>
                </c:pt>
                <c:pt idx="118">
                  <c:v>-0.20080862533692723</c:v>
                </c:pt>
                <c:pt idx="119">
                  <c:v>-0.19946091644204844</c:v>
                </c:pt>
                <c:pt idx="120">
                  <c:v>-0.21967654986522911</c:v>
                </c:pt>
                <c:pt idx="121">
                  <c:v>-0.2021563342318059</c:v>
                </c:pt>
                <c:pt idx="122">
                  <c:v>-0.19676549865229109</c:v>
                </c:pt>
                <c:pt idx="123">
                  <c:v>-0.18733153638814015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57-4009-AE04-3BEAAA611BC5}"/>
            </c:ext>
          </c:extLst>
        </c:ser>
        <c:ser>
          <c:idx val="1"/>
          <c:order val="1"/>
          <c:tx>
            <c:strRef>
              <c:f>Stock!$G$1</c:f>
              <c:strCache>
                <c:ptCount val="1"/>
                <c:pt idx="0">
                  <c:v>Rumo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Stock!$A$2:$A$125</c:f>
              <c:numCache>
                <c:formatCode>m/d/yyyy</c:formatCode>
                <c:ptCount val="124"/>
                <c:pt idx="0">
                  <c:v>44099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44109</c:v>
                </c:pt>
                <c:pt idx="7">
                  <c:v>44110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44130</c:v>
                </c:pt>
                <c:pt idx="21">
                  <c:v>44131</c:v>
                </c:pt>
                <c:pt idx="22">
                  <c:v>44132</c:v>
                </c:pt>
                <c:pt idx="23">
                  <c:v>44133</c:v>
                </c:pt>
                <c:pt idx="24">
                  <c:v>44134</c:v>
                </c:pt>
                <c:pt idx="25">
                  <c:v>44138</c:v>
                </c:pt>
                <c:pt idx="26">
                  <c:v>44139</c:v>
                </c:pt>
                <c:pt idx="27">
                  <c:v>44140</c:v>
                </c:pt>
                <c:pt idx="28">
                  <c:v>44141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44151</c:v>
                </c:pt>
                <c:pt idx="35">
                  <c:v>44152</c:v>
                </c:pt>
                <c:pt idx="36">
                  <c:v>44153</c:v>
                </c:pt>
                <c:pt idx="37">
                  <c:v>44154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  <c:pt idx="44">
                  <c:v>44166</c:v>
                </c:pt>
                <c:pt idx="45">
                  <c:v>44167</c:v>
                </c:pt>
                <c:pt idx="46">
                  <c:v>44168</c:v>
                </c:pt>
                <c:pt idx="47">
                  <c:v>44169</c:v>
                </c:pt>
                <c:pt idx="48">
                  <c:v>44172</c:v>
                </c:pt>
                <c:pt idx="49">
                  <c:v>44173</c:v>
                </c:pt>
                <c:pt idx="50">
                  <c:v>44174</c:v>
                </c:pt>
                <c:pt idx="51">
                  <c:v>44175</c:v>
                </c:pt>
                <c:pt idx="52">
                  <c:v>44176</c:v>
                </c:pt>
                <c:pt idx="53">
                  <c:v>44179</c:v>
                </c:pt>
                <c:pt idx="54">
                  <c:v>44180</c:v>
                </c:pt>
                <c:pt idx="55">
                  <c:v>44181</c:v>
                </c:pt>
                <c:pt idx="56">
                  <c:v>44182</c:v>
                </c:pt>
                <c:pt idx="57">
                  <c:v>44183</c:v>
                </c:pt>
                <c:pt idx="58">
                  <c:v>44186</c:v>
                </c:pt>
                <c:pt idx="59">
                  <c:v>44187</c:v>
                </c:pt>
                <c:pt idx="60">
                  <c:v>44188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44207</c:v>
                </c:pt>
                <c:pt idx="70">
                  <c:v>44208</c:v>
                </c:pt>
                <c:pt idx="71">
                  <c:v>44209</c:v>
                </c:pt>
                <c:pt idx="72">
                  <c:v>44210</c:v>
                </c:pt>
                <c:pt idx="73">
                  <c:v>44211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44222</c:v>
                </c:pt>
                <c:pt idx="80">
                  <c:v>44223</c:v>
                </c:pt>
                <c:pt idx="81">
                  <c:v>44224</c:v>
                </c:pt>
                <c:pt idx="82">
                  <c:v>44225</c:v>
                </c:pt>
                <c:pt idx="83">
                  <c:v>44228</c:v>
                </c:pt>
                <c:pt idx="84">
                  <c:v>44229</c:v>
                </c:pt>
                <c:pt idx="85">
                  <c:v>44230</c:v>
                </c:pt>
                <c:pt idx="86">
                  <c:v>44231</c:v>
                </c:pt>
                <c:pt idx="87">
                  <c:v>44232</c:v>
                </c:pt>
                <c:pt idx="88">
                  <c:v>44235</c:v>
                </c:pt>
                <c:pt idx="89">
                  <c:v>44236</c:v>
                </c:pt>
                <c:pt idx="90">
                  <c:v>44237</c:v>
                </c:pt>
                <c:pt idx="91">
                  <c:v>44238</c:v>
                </c:pt>
                <c:pt idx="92">
                  <c:v>44239</c:v>
                </c:pt>
                <c:pt idx="93">
                  <c:v>44245</c:v>
                </c:pt>
                <c:pt idx="94">
                  <c:v>44246</c:v>
                </c:pt>
                <c:pt idx="95">
                  <c:v>44249</c:v>
                </c:pt>
                <c:pt idx="96">
                  <c:v>44250</c:v>
                </c:pt>
                <c:pt idx="97">
                  <c:v>44251</c:v>
                </c:pt>
                <c:pt idx="98">
                  <c:v>44252</c:v>
                </c:pt>
                <c:pt idx="99">
                  <c:v>44253</c:v>
                </c:pt>
                <c:pt idx="100">
                  <c:v>44256</c:v>
                </c:pt>
                <c:pt idx="101">
                  <c:v>44257</c:v>
                </c:pt>
                <c:pt idx="102">
                  <c:v>44258</c:v>
                </c:pt>
                <c:pt idx="103">
                  <c:v>44259</c:v>
                </c:pt>
                <c:pt idx="104">
                  <c:v>44260</c:v>
                </c:pt>
                <c:pt idx="105">
                  <c:v>44263</c:v>
                </c:pt>
                <c:pt idx="106">
                  <c:v>44264</c:v>
                </c:pt>
                <c:pt idx="107">
                  <c:v>44265</c:v>
                </c:pt>
                <c:pt idx="108">
                  <c:v>44266</c:v>
                </c:pt>
                <c:pt idx="109">
                  <c:v>44267</c:v>
                </c:pt>
                <c:pt idx="110">
                  <c:v>44270</c:v>
                </c:pt>
                <c:pt idx="111">
                  <c:v>44271</c:v>
                </c:pt>
                <c:pt idx="112">
                  <c:v>44272</c:v>
                </c:pt>
                <c:pt idx="113">
                  <c:v>44273</c:v>
                </c:pt>
                <c:pt idx="114">
                  <c:v>44274</c:v>
                </c:pt>
                <c:pt idx="115">
                  <c:v>44277</c:v>
                </c:pt>
                <c:pt idx="116">
                  <c:v>44278</c:v>
                </c:pt>
                <c:pt idx="117">
                  <c:v>44279</c:v>
                </c:pt>
                <c:pt idx="118">
                  <c:v>44280</c:v>
                </c:pt>
                <c:pt idx="119">
                  <c:v>44281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</c:numCache>
            </c:numRef>
          </c:cat>
          <c:val>
            <c:numRef>
              <c:f>Stock!$G$2:$G$125</c:f>
              <c:numCache>
                <c:formatCode>0%</c:formatCode>
                <c:ptCount val="124"/>
                <c:pt idx="0">
                  <c:v>0</c:v>
                </c:pt>
                <c:pt idx="1">
                  <c:v>-4.558546065259117E-2</c:v>
                </c:pt>
                <c:pt idx="2">
                  <c:v>-8.1573944337811954E-2</c:v>
                </c:pt>
                <c:pt idx="3">
                  <c:v>-8.541271593090205E-2</c:v>
                </c:pt>
                <c:pt idx="4">
                  <c:v>-6.2859836852207307E-2</c:v>
                </c:pt>
                <c:pt idx="5">
                  <c:v>-9.0690930902111333E-2</c:v>
                </c:pt>
                <c:pt idx="6">
                  <c:v>-9.4529702495201651E-2</c:v>
                </c:pt>
                <c:pt idx="7">
                  <c:v>-9.788872360844536E-2</c:v>
                </c:pt>
                <c:pt idx="8">
                  <c:v>-0.11564299424184266</c:v>
                </c:pt>
                <c:pt idx="9">
                  <c:v>-0.11372365642994231</c:v>
                </c:pt>
                <c:pt idx="10">
                  <c:v>-0.13531669865642992</c:v>
                </c:pt>
                <c:pt idx="11">
                  <c:v>-0.13915542226487532</c:v>
                </c:pt>
                <c:pt idx="12">
                  <c:v>-9.1650671785028837E-2</c:v>
                </c:pt>
                <c:pt idx="13">
                  <c:v>-8.8291746641074864E-2</c:v>
                </c:pt>
                <c:pt idx="14">
                  <c:v>-0.10028790786948172</c:v>
                </c:pt>
                <c:pt idx="15">
                  <c:v>-0.10412667946257192</c:v>
                </c:pt>
                <c:pt idx="16">
                  <c:v>-0.11324376199616115</c:v>
                </c:pt>
                <c:pt idx="17">
                  <c:v>-0.11948176583493275</c:v>
                </c:pt>
                <c:pt idx="18">
                  <c:v>-0.1065258637236085</c:v>
                </c:pt>
                <c:pt idx="19">
                  <c:v>-0.13003843570057572</c:v>
                </c:pt>
                <c:pt idx="20">
                  <c:v>-0.13531669865642992</c:v>
                </c:pt>
                <c:pt idx="21">
                  <c:v>-0.13387720729366603</c:v>
                </c:pt>
                <c:pt idx="22">
                  <c:v>-0.15882912667946258</c:v>
                </c:pt>
                <c:pt idx="23">
                  <c:v>-0.12044145873320544</c:v>
                </c:pt>
                <c:pt idx="24">
                  <c:v>-0.1199616122840691</c:v>
                </c:pt>
                <c:pt idx="25">
                  <c:v>-0.11900187140115159</c:v>
                </c:pt>
                <c:pt idx="26">
                  <c:v>-8.6372312859884781E-2</c:v>
                </c:pt>
                <c:pt idx="27">
                  <c:v>-4.7024904030710135E-2</c:v>
                </c:pt>
                <c:pt idx="28">
                  <c:v>-7.8215019193857982E-2</c:v>
                </c:pt>
                <c:pt idx="29">
                  <c:v>-1.8713963531669875E-2</c:v>
                </c:pt>
                <c:pt idx="30">
                  <c:v>-3.6948176583493253E-2</c:v>
                </c:pt>
                <c:pt idx="31">
                  <c:v>-3.8387667946257142E-2</c:v>
                </c:pt>
                <c:pt idx="32">
                  <c:v>-8.8291746641074864E-2</c:v>
                </c:pt>
                <c:pt idx="33">
                  <c:v>-7.3896401151631541E-2</c:v>
                </c:pt>
                <c:pt idx="34">
                  <c:v>-9.1650671785028837E-2</c:v>
                </c:pt>
                <c:pt idx="35">
                  <c:v>-9.788872360844536E-2</c:v>
                </c:pt>
                <c:pt idx="36">
                  <c:v>-0.11852202495201547</c:v>
                </c:pt>
                <c:pt idx="37">
                  <c:v>-0.10748560460652579</c:v>
                </c:pt>
                <c:pt idx="38">
                  <c:v>-7.8694769673704368E-2</c:v>
                </c:pt>
                <c:pt idx="39">
                  <c:v>-9.1170777351247678E-2</c:v>
                </c:pt>
                <c:pt idx="40">
                  <c:v>-8.0614203454894451E-2</c:v>
                </c:pt>
                <c:pt idx="41">
                  <c:v>-6.6218857965451017E-2</c:v>
                </c:pt>
                <c:pt idx="42">
                  <c:v>-7.0537380038387831E-2</c:v>
                </c:pt>
                <c:pt idx="43">
                  <c:v>-9.0211180422264836E-2</c:v>
                </c:pt>
                <c:pt idx="44">
                  <c:v>-5.6142034548944286E-2</c:v>
                </c:pt>
                <c:pt idx="45">
                  <c:v>-4.0307101727447225E-2</c:v>
                </c:pt>
                <c:pt idx="46">
                  <c:v>-2.831094049904026E-2</c:v>
                </c:pt>
                <c:pt idx="47">
                  <c:v>-9.5969769673704963E-3</c:v>
                </c:pt>
                <c:pt idx="48">
                  <c:v>-4.1266794625719694E-2</c:v>
                </c:pt>
                <c:pt idx="49">
                  <c:v>-4.9424232245681265E-2</c:v>
                </c:pt>
                <c:pt idx="50">
                  <c:v>-7.6775431861804244E-2</c:v>
                </c:pt>
                <c:pt idx="51">
                  <c:v>-7.3896401151631541E-2</c:v>
                </c:pt>
                <c:pt idx="52">
                  <c:v>-9.932821497120925E-2</c:v>
                </c:pt>
                <c:pt idx="53">
                  <c:v>-0.10988488483685221</c:v>
                </c:pt>
                <c:pt idx="54">
                  <c:v>-6.4299424184261045E-2</c:v>
                </c:pt>
                <c:pt idx="55">
                  <c:v>-6.3339731285988465E-2</c:v>
                </c:pt>
                <c:pt idx="56">
                  <c:v>-4.9904078694817722E-2</c:v>
                </c:pt>
                <c:pt idx="57">
                  <c:v>-7.0057629558541223E-2</c:v>
                </c:pt>
                <c:pt idx="58">
                  <c:v>-7.6295585412667899E-2</c:v>
                </c:pt>
                <c:pt idx="59">
                  <c:v>-8.1094049904030796E-2</c:v>
                </c:pt>
                <c:pt idx="60">
                  <c:v>-7.8694769673704368E-2</c:v>
                </c:pt>
                <c:pt idx="61">
                  <c:v>-5.7101727447216977E-2</c:v>
                </c:pt>
                <c:pt idx="62">
                  <c:v>-6.2859836852207307E-2</c:v>
                </c:pt>
                <c:pt idx="63">
                  <c:v>-7.6775431861804244E-2</c:v>
                </c:pt>
                <c:pt idx="64">
                  <c:v>-8.1094049904030796E-2</c:v>
                </c:pt>
                <c:pt idx="65">
                  <c:v>-7.3896401151631541E-2</c:v>
                </c:pt>
                <c:pt idx="66">
                  <c:v>-7.9654510556621871E-2</c:v>
                </c:pt>
                <c:pt idx="67">
                  <c:v>-5.8061468330134258E-2</c:v>
                </c:pt>
                <c:pt idx="68">
                  <c:v>-4.0307101727447225E-2</c:v>
                </c:pt>
                <c:pt idx="69">
                  <c:v>-5.7101727447216977E-2</c:v>
                </c:pt>
                <c:pt idx="70">
                  <c:v>-7.1976487523992549E-3</c:v>
                </c:pt>
                <c:pt idx="71">
                  <c:v>-6.7178023032629097E-3</c:v>
                </c:pt>
                <c:pt idx="72">
                  <c:v>-4.7984644913627861E-3</c:v>
                </c:pt>
                <c:pt idx="73">
                  <c:v>1.7754270633397295E-2</c:v>
                </c:pt>
                <c:pt idx="74">
                  <c:v>3.8387715930903177E-3</c:v>
                </c:pt>
                <c:pt idx="75">
                  <c:v>1.2476007677543199E-2</c:v>
                </c:pt>
                <c:pt idx="76">
                  <c:v>9.1171305182340401E-3</c:v>
                </c:pt>
                <c:pt idx="77">
                  <c:v>2.3991842610364689E-3</c:v>
                </c:pt>
                <c:pt idx="78">
                  <c:v>4.7984644913645624E-4</c:v>
                </c:pt>
                <c:pt idx="79">
                  <c:v>-8.1573896353166475E-3</c:v>
                </c:pt>
                <c:pt idx="80">
                  <c:v>-3.8387715930900956E-3</c:v>
                </c:pt>
                <c:pt idx="81">
                  <c:v>3.8387715930903177E-3</c:v>
                </c:pt>
                <c:pt idx="82">
                  <c:v>-2.5911756238003902E-2</c:v>
                </c:pt>
                <c:pt idx="83">
                  <c:v>1.2476007677543199E-2</c:v>
                </c:pt>
                <c:pt idx="84">
                  <c:v>-3.3589251439539725E-3</c:v>
                </c:pt>
                <c:pt idx="85">
                  <c:v>4.1266842610364618E-2</c:v>
                </c:pt>
                <c:pt idx="86">
                  <c:v>3.1669865642994344E-2</c:v>
                </c:pt>
                <c:pt idx="87">
                  <c:v>2.4472168905950165E-2</c:v>
                </c:pt>
                <c:pt idx="88">
                  <c:v>2.4472168905950165E-2</c:v>
                </c:pt>
                <c:pt idx="89">
                  <c:v>4.7984644913645624E-4</c:v>
                </c:pt>
                <c:pt idx="90">
                  <c:v>-3.4069145873320439E-2</c:v>
                </c:pt>
                <c:pt idx="91">
                  <c:v>-4.9424232245681265E-2</c:v>
                </c:pt>
                <c:pt idx="92">
                  <c:v>-3.1669865642994233E-2</c:v>
                </c:pt>
                <c:pt idx="93">
                  <c:v>-2.5911756238003902E-2</c:v>
                </c:pt>
                <c:pt idx="94">
                  <c:v>-6.0940499040307072E-2</c:v>
                </c:pt>
                <c:pt idx="95">
                  <c:v>-8.3973128598848423E-2</c:v>
                </c:pt>
                <c:pt idx="96">
                  <c:v>-6.6218857965451017E-2</c:v>
                </c:pt>
                <c:pt idx="97">
                  <c:v>-7.6295585412667899E-2</c:v>
                </c:pt>
                <c:pt idx="98">
                  <c:v>-0.10508637236084462</c:v>
                </c:pt>
                <c:pt idx="99">
                  <c:v>-0.13147792706333961</c:v>
                </c:pt>
                <c:pt idx="100">
                  <c:v>-0.13243761996161241</c:v>
                </c:pt>
                <c:pt idx="101">
                  <c:v>-0.12188104606525918</c:v>
                </c:pt>
                <c:pt idx="102">
                  <c:v>-0.11276391554702503</c:v>
                </c:pt>
                <c:pt idx="103">
                  <c:v>-4.7504798464491294E-2</c:v>
                </c:pt>
                <c:pt idx="104">
                  <c:v>-2.5431909788867446E-2</c:v>
                </c:pt>
                <c:pt idx="105">
                  <c:v>-0.10268709213051819</c:v>
                </c:pt>
                <c:pt idx="106">
                  <c:v>-0.11564299424184266</c:v>
                </c:pt>
                <c:pt idx="107">
                  <c:v>-0.1113243761996161</c:v>
                </c:pt>
                <c:pt idx="108">
                  <c:v>-4.9424232245681265E-2</c:v>
                </c:pt>
                <c:pt idx="109">
                  <c:v>-5.4222696737044163E-2</c:v>
                </c:pt>
                <c:pt idx="110">
                  <c:v>-3.7428071017274411E-2</c:v>
                </c:pt>
                <c:pt idx="111">
                  <c:v>-7.8694769673704368E-2</c:v>
                </c:pt>
                <c:pt idx="112">
                  <c:v>-1.2955854126679434E-2</c:v>
                </c:pt>
                <c:pt idx="113">
                  <c:v>-2.7351247600767792E-2</c:v>
                </c:pt>
                <c:pt idx="114">
                  <c:v>-3.3589251439539725E-3</c:v>
                </c:pt>
                <c:pt idx="115">
                  <c:v>-2.1113243761996192E-2</c:v>
                </c:pt>
                <c:pt idx="116">
                  <c:v>-4.1266794625719694E-2</c:v>
                </c:pt>
                <c:pt idx="117">
                  <c:v>-5.90210652591171E-2</c:v>
                </c:pt>
                <c:pt idx="118">
                  <c:v>-4.9904078694817722E-2</c:v>
                </c:pt>
                <c:pt idx="119">
                  <c:v>-5.4702447216890548E-2</c:v>
                </c:pt>
                <c:pt idx="120">
                  <c:v>-4.3666026871401198E-2</c:v>
                </c:pt>
                <c:pt idx="121">
                  <c:v>-3.4548896353167047E-2</c:v>
                </c:pt>
                <c:pt idx="122">
                  <c:v>-2.831094049904026E-2</c:v>
                </c:pt>
                <c:pt idx="123">
                  <c:v>-3.2629558541266812E-2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57-4009-AE04-3BEAAA611BC5}"/>
            </c:ext>
          </c:extLst>
        </c:ser>
        <c:ser>
          <c:idx val="2"/>
          <c:order val="2"/>
          <c:tx>
            <c:strRef>
              <c:f>Stock!$H$1</c:f>
              <c:strCache>
                <c:ptCount val="1"/>
                <c:pt idx="0">
                  <c:v>Bovespa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Stock!$A$2:$A$125</c:f>
              <c:numCache>
                <c:formatCode>m/d/yyyy</c:formatCode>
                <c:ptCount val="124"/>
                <c:pt idx="0">
                  <c:v>44099</c:v>
                </c:pt>
                <c:pt idx="1">
                  <c:v>44102</c:v>
                </c:pt>
                <c:pt idx="2">
                  <c:v>44103</c:v>
                </c:pt>
                <c:pt idx="3">
                  <c:v>44104</c:v>
                </c:pt>
                <c:pt idx="4">
                  <c:v>44105</c:v>
                </c:pt>
                <c:pt idx="5">
                  <c:v>44106</c:v>
                </c:pt>
                <c:pt idx="6">
                  <c:v>44109</c:v>
                </c:pt>
                <c:pt idx="7">
                  <c:v>44110</c:v>
                </c:pt>
                <c:pt idx="8">
                  <c:v>44111</c:v>
                </c:pt>
                <c:pt idx="9">
                  <c:v>44112</c:v>
                </c:pt>
                <c:pt idx="10">
                  <c:v>44113</c:v>
                </c:pt>
                <c:pt idx="11">
                  <c:v>44117</c:v>
                </c:pt>
                <c:pt idx="12">
                  <c:v>44118</c:v>
                </c:pt>
                <c:pt idx="13">
                  <c:v>44119</c:v>
                </c:pt>
                <c:pt idx="14">
                  <c:v>44120</c:v>
                </c:pt>
                <c:pt idx="15">
                  <c:v>44123</c:v>
                </c:pt>
                <c:pt idx="16">
                  <c:v>44124</c:v>
                </c:pt>
                <c:pt idx="17">
                  <c:v>44125</c:v>
                </c:pt>
                <c:pt idx="18">
                  <c:v>44126</c:v>
                </c:pt>
                <c:pt idx="19">
                  <c:v>44127</c:v>
                </c:pt>
                <c:pt idx="20">
                  <c:v>44130</c:v>
                </c:pt>
                <c:pt idx="21">
                  <c:v>44131</c:v>
                </c:pt>
                <c:pt idx="22">
                  <c:v>44132</c:v>
                </c:pt>
                <c:pt idx="23">
                  <c:v>44133</c:v>
                </c:pt>
                <c:pt idx="24">
                  <c:v>44134</c:v>
                </c:pt>
                <c:pt idx="25">
                  <c:v>44138</c:v>
                </c:pt>
                <c:pt idx="26">
                  <c:v>44139</c:v>
                </c:pt>
                <c:pt idx="27">
                  <c:v>44140</c:v>
                </c:pt>
                <c:pt idx="28">
                  <c:v>44141</c:v>
                </c:pt>
                <c:pt idx="29">
                  <c:v>44144</c:v>
                </c:pt>
                <c:pt idx="30">
                  <c:v>44145</c:v>
                </c:pt>
                <c:pt idx="31">
                  <c:v>44146</c:v>
                </c:pt>
                <c:pt idx="32">
                  <c:v>44147</c:v>
                </c:pt>
                <c:pt idx="33">
                  <c:v>44148</c:v>
                </c:pt>
                <c:pt idx="34">
                  <c:v>44151</c:v>
                </c:pt>
                <c:pt idx="35">
                  <c:v>44152</c:v>
                </c:pt>
                <c:pt idx="36">
                  <c:v>44153</c:v>
                </c:pt>
                <c:pt idx="37">
                  <c:v>44154</c:v>
                </c:pt>
                <c:pt idx="38">
                  <c:v>44158</c:v>
                </c:pt>
                <c:pt idx="39">
                  <c:v>44159</c:v>
                </c:pt>
                <c:pt idx="40">
                  <c:v>44160</c:v>
                </c:pt>
                <c:pt idx="41">
                  <c:v>44161</c:v>
                </c:pt>
                <c:pt idx="42">
                  <c:v>44162</c:v>
                </c:pt>
                <c:pt idx="43">
                  <c:v>44165</c:v>
                </c:pt>
                <c:pt idx="44">
                  <c:v>44166</c:v>
                </c:pt>
                <c:pt idx="45">
                  <c:v>44167</c:v>
                </c:pt>
                <c:pt idx="46">
                  <c:v>44168</c:v>
                </c:pt>
                <c:pt idx="47">
                  <c:v>44169</c:v>
                </c:pt>
                <c:pt idx="48">
                  <c:v>44172</c:v>
                </c:pt>
                <c:pt idx="49">
                  <c:v>44173</c:v>
                </c:pt>
                <c:pt idx="50">
                  <c:v>44174</c:v>
                </c:pt>
                <c:pt idx="51">
                  <c:v>44175</c:v>
                </c:pt>
                <c:pt idx="52">
                  <c:v>44176</c:v>
                </c:pt>
                <c:pt idx="53">
                  <c:v>44179</c:v>
                </c:pt>
                <c:pt idx="54">
                  <c:v>44180</c:v>
                </c:pt>
                <c:pt idx="55">
                  <c:v>44181</c:v>
                </c:pt>
                <c:pt idx="56">
                  <c:v>44182</c:v>
                </c:pt>
                <c:pt idx="57">
                  <c:v>44183</c:v>
                </c:pt>
                <c:pt idx="58">
                  <c:v>44186</c:v>
                </c:pt>
                <c:pt idx="59">
                  <c:v>44187</c:v>
                </c:pt>
                <c:pt idx="60">
                  <c:v>44188</c:v>
                </c:pt>
                <c:pt idx="61">
                  <c:v>44193</c:v>
                </c:pt>
                <c:pt idx="62">
                  <c:v>44194</c:v>
                </c:pt>
                <c:pt idx="63">
                  <c:v>44195</c:v>
                </c:pt>
                <c:pt idx="64">
                  <c:v>44200</c:v>
                </c:pt>
                <c:pt idx="65">
                  <c:v>44201</c:v>
                </c:pt>
                <c:pt idx="66">
                  <c:v>44202</c:v>
                </c:pt>
                <c:pt idx="67">
                  <c:v>44203</c:v>
                </c:pt>
                <c:pt idx="68">
                  <c:v>44204</c:v>
                </c:pt>
                <c:pt idx="69">
                  <c:v>44207</c:v>
                </c:pt>
                <c:pt idx="70">
                  <c:v>44208</c:v>
                </c:pt>
                <c:pt idx="71">
                  <c:v>44209</c:v>
                </c:pt>
                <c:pt idx="72">
                  <c:v>44210</c:v>
                </c:pt>
                <c:pt idx="73">
                  <c:v>44211</c:v>
                </c:pt>
                <c:pt idx="74">
                  <c:v>44214</c:v>
                </c:pt>
                <c:pt idx="75">
                  <c:v>44215</c:v>
                </c:pt>
                <c:pt idx="76">
                  <c:v>44216</c:v>
                </c:pt>
                <c:pt idx="77">
                  <c:v>44217</c:v>
                </c:pt>
                <c:pt idx="78">
                  <c:v>44218</c:v>
                </c:pt>
                <c:pt idx="79">
                  <c:v>44222</c:v>
                </c:pt>
                <c:pt idx="80">
                  <c:v>44223</c:v>
                </c:pt>
                <c:pt idx="81">
                  <c:v>44224</c:v>
                </c:pt>
                <c:pt idx="82">
                  <c:v>44225</c:v>
                </c:pt>
                <c:pt idx="83">
                  <c:v>44228</c:v>
                </c:pt>
                <c:pt idx="84">
                  <c:v>44229</c:v>
                </c:pt>
                <c:pt idx="85">
                  <c:v>44230</c:v>
                </c:pt>
                <c:pt idx="86">
                  <c:v>44231</c:v>
                </c:pt>
                <c:pt idx="87">
                  <c:v>44232</c:v>
                </c:pt>
                <c:pt idx="88">
                  <c:v>44235</c:v>
                </c:pt>
                <c:pt idx="89">
                  <c:v>44236</c:v>
                </c:pt>
                <c:pt idx="90">
                  <c:v>44237</c:v>
                </c:pt>
                <c:pt idx="91">
                  <c:v>44238</c:v>
                </c:pt>
                <c:pt idx="92">
                  <c:v>44239</c:v>
                </c:pt>
                <c:pt idx="93">
                  <c:v>44245</c:v>
                </c:pt>
                <c:pt idx="94">
                  <c:v>44246</c:v>
                </c:pt>
                <c:pt idx="95">
                  <c:v>44249</c:v>
                </c:pt>
                <c:pt idx="96">
                  <c:v>44250</c:v>
                </c:pt>
                <c:pt idx="97">
                  <c:v>44251</c:v>
                </c:pt>
                <c:pt idx="98">
                  <c:v>44252</c:v>
                </c:pt>
                <c:pt idx="99">
                  <c:v>44253</c:v>
                </c:pt>
                <c:pt idx="100">
                  <c:v>44256</c:v>
                </c:pt>
                <c:pt idx="101">
                  <c:v>44257</c:v>
                </c:pt>
                <c:pt idx="102">
                  <c:v>44258</c:v>
                </c:pt>
                <c:pt idx="103">
                  <c:v>44259</c:v>
                </c:pt>
                <c:pt idx="104">
                  <c:v>44260</c:v>
                </c:pt>
                <c:pt idx="105">
                  <c:v>44263</c:v>
                </c:pt>
                <c:pt idx="106">
                  <c:v>44264</c:v>
                </c:pt>
                <c:pt idx="107">
                  <c:v>44265</c:v>
                </c:pt>
                <c:pt idx="108">
                  <c:v>44266</c:v>
                </c:pt>
                <c:pt idx="109">
                  <c:v>44267</c:v>
                </c:pt>
                <c:pt idx="110">
                  <c:v>44270</c:v>
                </c:pt>
                <c:pt idx="111">
                  <c:v>44271</c:v>
                </c:pt>
                <c:pt idx="112">
                  <c:v>44272</c:v>
                </c:pt>
                <c:pt idx="113">
                  <c:v>44273</c:v>
                </c:pt>
                <c:pt idx="114">
                  <c:v>44274</c:v>
                </c:pt>
                <c:pt idx="115">
                  <c:v>44277</c:v>
                </c:pt>
                <c:pt idx="116">
                  <c:v>44278</c:v>
                </c:pt>
                <c:pt idx="117">
                  <c:v>44279</c:v>
                </c:pt>
                <c:pt idx="118">
                  <c:v>44280</c:v>
                </c:pt>
                <c:pt idx="119">
                  <c:v>44281</c:v>
                </c:pt>
                <c:pt idx="120">
                  <c:v>44284</c:v>
                </c:pt>
                <c:pt idx="121">
                  <c:v>44285</c:v>
                </c:pt>
                <c:pt idx="122">
                  <c:v>44286</c:v>
                </c:pt>
                <c:pt idx="123">
                  <c:v>44287</c:v>
                </c:pt>
              </c:numCache>
            </c:numRef>
          </c:cat>
          <c:val>
            <c:numRef>
              <c:f>Stock!$H$2:$H$125</c:f>
              <c:numCache>
                <c:formatCode>0%</c:formatCode>
                <c:ptCount val="124"/>
                <c:pt idx="0">
                  <c:v>0</c:v>
                </c:pt>
                <c:pt idx="1">
                  <c:v>-2.4051794348395328E-2</c:v>
                </c:pt>
                <c:pt idx="2">
                  <c:v>-3.5247786059650066E-2</c:v>
                </c:pt>
                <c:pt idx="3">
                  <c:v>-2.4701285580263743E-2</c:v>
                </c:pt>
                <c:pt idx="4">
                  <c:v>-1.5670264641903575E-2</c:v>
                </c:pt>
                <c:pt idx="5">
                  <c:v>-3.0752894359735716E-2</c:v>
                </c:pt>
                <c:pt idx="6">
                  <c:v>-9.3815400158764328E-3</c:v>
                </c:pt>
                <c:pt idx="7">
                  <c:v>-1.4268188331838516E-2</c:v>
                </c:pt>
                <c:pt idx="8">
                  <c:v>-1.518572356416048E-2</c:v>
                </c:pt>
                <c:pt idx="9">
                  <c:v>9.4949432468376394E-3</c:v>
                </c:pt>
                <c:pt idx="10">
                  <c:v>4.9897421622904226E-3</c:v>
                </c:pt>
                <c:pt idx="11">
                  <c:v>1.5505314487778143E-2</c:v>
                </c:pt>
                <c:pt idx="12">
                  <c:v>2.4072413117661062E-2</c:v>
                </c:pt>
                <c:pt idx="13">
                  <c:v>2.1185785420468228E-2</c:v>
                </c:pt>
                <c:pt idx="14">
                  <c:v>1.3505293869009005E-2</c:v>
                </c:pt>
                <c:pt idx="15">
                  <c:v>1.7103269105867014E-2</c:v>
                </c:pt>
                <c:pt idx="16">
                  <c:v>3.6505530984855428E-2</c:v>
                </c:pt>
                <c:pt idx="17">
                  <c:v>3.662924360044939E-2</c:v>
                </c:pt>
                <c:pt idx="18">
                  <c:v>5.0711863008896962E-2</c:v>
                </c:pt>
                <c:pt idx="19">
                  <c:v>4.392828792049408E-2</c:v>
                </c:pt>
                <c:pt idx="20">
                  <c:v>4.1423107454716002E-2</c:v>
                </c:pt>
                <c:pt idx="21">
                  <c:v>2.687656573779118E-2</c:v>
                </c:pt>
                <c:pt idx="22">
                  <c:v>-1.6804296951514974E-2</c:v>
                </c:pt>
                <c:pt idx="23">
                  <c:v>-4.2990133918906492E-3</c:v>
                </c:pt>
                <c:pt idx="24">
                  <c:v>-3.1412694976236888E-2</c:v>
                </c:pt>
                <c:pt idx="25">
                  <c:v>-1.4556851101557799E-2</c:v>
                </c:pt>
                <c:pt idx="26">
                  <c:v>8.3712203218588854E-3</c:v>
                </c:pt>
                <c:pt idx="27">
                  <c:v>3.8917926988937923E-2</c:v>
                </c:pt>
                <c:pt idx="28">
                  <c:v>3.9175661604758716E-2</c:v>
                </c:pt>
                <c:pt idx="29">
                  <c:v>7.1279085351395377E-2</c:v>
                </c:pt>
                <c:pt idx="30">
                  <c:v>8.6103980453406725E-2</c:v>
                </c:pt>
                <c:pt idx="31">
                  <c:v>7.7660594439117991E-2</c:v>
                </c:pt>
                <c:pt idx="32">
                  <c:v>5.3361374859534738E-2</c:v>
                </c:pt>
                <c:pt idx="33">
                  <c:v>7.7454406746461313E-2</c:v>
                </c:pt>
                <c:pt idx="34">
                  <c:v>9.7227806472231615E-2</c:v>
                </c:pt>
                <c:pt idx="35">
                  <c:v>0.10546500479386389</c:v>
                </c:pt>
                <c:pt idx="36">
                  <c:v>9.7774203857771802E-2</c:v>
                </c:pt>
                <c:pt idx="37">
                  <c:v>9.8124722935287956E-2</c:v>
                </c:pt>
                <c:pt idx="38">
                  <c:v>0.10701141248878865</c:v>
                </c:pt>
                <c:pt idx="39">
                  <c:v>0.13182610130001349</c:v>
                </c:pt>
                <c:pt idx="40">
                  <c:v>0.13540345776760576</c:v>
                </c:pt>
                <c:pt idx="41">
                  <c:v>0.13637253992309195</c:v>
                </c:pt>
                <c:pt idx="42">
                  <c:v>0.13996020577531731</c:v>
                </c:pt>
                <c:pt idx="43">
                  <c:v>0.12256827389973091</c:v>
                </c:pt>
                <c:pt idx="44">
                  <c:v>0.1477953380962691</c:v>
                </c:pt>
                <c:pt idx="45">
                  <c:v>0.15273353333539519</c:v>
                </c:pt>
                <c:pt idx="46">
                  <c:v>0.16412540335467374</c:v>
                </c:pt>
                <c:pt idx="47">
                  <c:v>0.17199146382952391</c:v>
                </c:pt>
                <c:pt idx="48">
                  <c:v>0.17140382890545269</c:v>
                </c:pt>
                <c:pt idx="49">
                  <c:v>0.17084712213527964</c:v>
                </c:pt>
                <c:pt idx="50">
                  <c:v>0.162094454582006</c:v>
                </c:pt>
                <c:pt idx="51">
                  <c:v>0.18549675769853291</c:v>
                </c:pt>
                <c:pt idx="52">
                  <c:v>0.1889091640120002</c:v>
                </c:pt>
                <c:pt idx="53">
                  <c:v>0.18532149815977483</c:v>
                </c:pt>
                <c:pt idx="54">
                  <c:v>0.19739378756482018</c:v>
                </c:pt>
                <c:pt idx="55">
                  <c:v>0.21596098928854945</c:v>
                </c:pt>
                <c:pt idx="56">
                  <c:v>0.21812596006144402</c:v>
                </c:pt>
                <c:pt idx="57">
                  <c:v>0.21319807420695058</c:v>
                </c:pt>
                <c:pt idx="58">
                  <c:v>0.1960535675625521</c:v>
                </c:pt>
                <c:pt idx="59">
                  <c:v>0.19947628326065225</c:v>
                </c:pt>
                <c:pt idx="60">
                  <c:v>0.21503314467159451</c:v>
                </c:pt>
                <c:pt idx="61">
                  <c:v>0.22734254992319514</c:v>
                </c:pt>
                <c:pt idx="62">
                  <c:v>0.23171372900751552</c:v>
                </c:pt>
                <c:pt idx="63">
                  <c:v>0.22997144300456696</c:v>
                </c:pt>
                <c:pt idx="64">
                  <c:v>0.22226002329920935</c:v>
                </c:pt>
                <c:pt idx="65">
                  <c:v>0.22911576408004208</c:v>
                </c:pt>
                <c:pt idx="66">
                  <c:v>0.23559005762946006</c:v>
                </c:pt>
                <c:pt idx="67">
                  <c:v>0.25729131228156987</c:v>
                </c:pt>
                <c:pt idx="68">
                  <c:v>0.28946690172063638</c:v>
                </c:pt>
                <c:pt idx="69">
                  <c:v>0.26606459860410925</c:v>
                </c:pt>
                <c:pt idx="70">
                  <c:v>0.27834307570181127</c:v>
                </c:pt>
                <c:pt idx="71">
                  <c:v>0.25815730059072783</c:v>
                </c:pt>
                <c:pt idx="72">
                  <c:v>0.27301312384663756</c:v>
                </c:pt>
                <c:pt idx="73">
                  <c:v>0.24230146702543331</c:v>
                </c:pt>
                <c:pt idx="74">
                  <c:v>0.24993041165372842</c:v>
                </c:pt>
                <c:pt idx="75">
                  <c:v>0.24406437179764739</c:v>
                </c:pt>
                <c:pt idx="76">
                  <c:v>0.23411581562696515</c:v>
                </c:pt>
                <c:pt idx="77">
                  <c:v>0.22107444406643362</c:v>
                </c:pt>
                <c:pt idx="78">
                  <c:v>0.2079712161981051</c:v>
                </c:pt>
                <c:pt idx="79">
                  <c:v>0.20067217187806063</c:v>
                </c:pt>
                <c:pt idx="80">
                  <c:v>0.19467211002175278</c:v>
                </c:pt>
                <c:pt idx="81">
                  <c:v>0.23005391808162967</c:v>
                </c:pt>
                <c:pt idx="82">
                  <c:v>0.19596078310085674</c:v>
                </c:pt>
                <c:pt idx="83">
                  <c:v>0.2099609274322416</c:v>
                </c:pt>
                <c:pt idx="84">
                  <c:v>0.21891978267817191</c:v>
                </c:pt>
                <c:pt idx="85">
                  <c:v>0.23429107516572345</c:v>
                </c:pt>
                <c:pt idx="86">
                  <c:v>0.22950752069608971</c:v>
                </c:pt>
                <c:pt idx="87">
                  <c:v>0.23635295209228957</c:v>
                </c:pt>
                <c:pt idx="88">
                  <c:v>0.23213641377746153</c:v>
                </c:pt>
                <c:pt idx="89">
                  <c:v>0.23123949731440541</c:v>
                </c:pt>
                <c:pt idx="90">
                  <c:v>0.22094042206620679</c:v>
                </c:pt>
                <c:pt idx="91">
                  <c:v>0.22923947669563605</c:v>
                </c:pt>
                <c:pt idx="92">
                  <c:v>0.22801265992432906</c:v>
                </c:pt>
                <c:pt idx="93">
                  <c:v>0.22826008515551699</c:v>
                </c:pt>
                <c:pt idx="94">
                  <c:v>0.22421880637944724</c:v>
                </c:pt>
                <c:pt idx="95">
                  <c:v>0.16153774781183317</c:v>
                </c:pt>
                <c:pt idx="96">
                  <c:v>0.18791946308724827</c:v>
                </c:pt>
                <c:pt idx="97">
                  <c:v>0.19246590171032696</c:v>
                </c:pt>
                <c:pt idx="98">
                  <c:v>0.15729028134310652</c:v>
                </c:pt>
                <c:pt idx="99">
                  <c:v>0.13439313807358833</c:v>
                </c:pt>
                <c:pt idx="100">
                  <c:v>0.13748595346343784</c:v>
                </c:pt>
                <c:pt idx="101">
                  <c:v>0.14990876194599934</c:v>
                </c:pt>
                <c:pt idx="102">
                  <c:v>0.14623862101671148</c:v>
                </c:pt>
                <c:pt idx="103">
                  <c:v>0.16176455427375536</c:v>
                </c:pt>
                <c:pt idx="104">
                  <c:v>0.18766172847142748</c:v>
                </c:pt>
                <c:pt idx="105">
                  <c:v>0.14034165300673207</c:v>
                </c:pt>
                <c:pt idx="106">
                  <c:v>0.14775410055773763</c:v>
                </c:pt>
                <c:pt idx="107">
                  <c:v>0.16265116135217883</c:v>
                </c:pt>
                <c:pt idx="108">
                  <c:v>0.18541428262147042</c:v>
                </c:pt>
                <c:pt idx="109">
                  <c:v>0.17691934968401735</c:v>
                </c:pt>
                <c:pt idx="110">
                  <c:v>0.18404313446530374</c:v>
                </c:pt>
                <c:pt idx="111">
                  <c:v>0.17546572645078817</c:v>
                </c:pt>
                <c:pt idx="112">
                  <c:v>0.20154846957185124</c:v>
                </c:pt>
                <c:pt idx="113">
                  <c:v>0.18387818431117853</c:v>
                </c:pt>
                <c:pt idx="114">
                  <c:v>0.19817730079691542</c:v>
                </c:pt>
                <c:pt idx="115">
                  <c:v>0.18536273569830608</c:v>
                </c:pt>
                <c:pt idx="116">
                  <c:v>0.16766152228373499</c:v>
                </c:pt>
                <c:pt idx="117">
                  <c:v>0.15531087949360312</c:v>
                </c:pt>
                <c:pt idx="118">
                  <c:v>0.17269250198455643</c:v>
                </c:pt>
                <c:pt idx="119">
                  <c:v>0.18332147754100547</c:v>
                </c:pt>
                <c:pt idx="120">
                  <c:v>0.1898988649367519</c:v>
                </c:pt>
                <c:pt idx="121">
                  <c:v>0.2046515943463334</c:v>
                </c:pt>
                <c:pt idx="122">
                  <c:v>0.20242476726564185</c:v>
                </c:pt>
                <c:pt idx="123">
                  <c:v>0.18818750708770193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57-4009-AE04-3BEAAA61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16584"/>
        <c:axId val="686016912"/>
      </c:lineChart>
      <c:dateAx>
        <c:axId val="6860165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6912"/>
        <c:crosses val="autoZero"/>
        <c:auto val="1"/>
        <c:lblOffset val="100"/>
        <c:baseTimeUnit val="days"/>
      </c:dateAx>
      <c:valAx>
        <c:axId val="68601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16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54</xdr:col>
      <xdr:colOff>302559</xdr:colOff>
      <xdr:row>8</xdr:row>
      <xdr:rowOff>145675</xdr:rowOff>
    </xdr:from>
    <xdr:to>
      <xdr:col>65</xdr:col>
      <xdr:colOff>541503</xdr:colOff>
      <xdr:row>45</xdr:row>
      <xdr:rowOff>141028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EE8B0E6-D621-464A-938A-12B741AC30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258559" y="1042146"/>
          <a:ext cx="6895238" cy="58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57150</xdr:colOff>
      <xdr:row>2</xdr:row>
      <xdr:rowOff>119062</xdr:rowOff>
    </xdr:from>
    <xdr:to>
      <xdr:col>16</xdr:col>
      <xdr:colOff>361950</xdr:colOff>
      <xdr:row>19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F1E44-D371-49EA-A220-ABB63DC3C2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ED642-EDB5-45D4-904A-E96558CA8783}">
  <sheetPr>
    <tabColor theme="0"/>
  </sheetPr>
  <dimension ref="B2:N90"/>
  <sheetViews>
    <sheetView tabSelected="1" workbookViewId="0">
      <pane xSplit="7" ySplit="11" topLeftCell="H12" activePane="bottomRight" state="frozen"/>
      <selection pane="topRight" activeCell="H1" sqref="H1"/>
      <selection pane="bottomLeft" activeCell="A13" sqref="A13"/>
      <selection pane="bottomRight"/>
    </sheetView>
  </sheetViews>
  <sheetFormatPr defaultRowHeight="12.75" outlineLevelCol="1" x14ac:dyDescent="0.2"/>
  <cols>
    <col min="1" max="1" width="2" style="1" customWidth="1"/>
    <col min="2" max="2" width="1.42578125" style="1" customWidth="1"/>
    <col min="3" max="3" width="44.140625" style="1" bestFit="1" customWidth="1"/>
    <col min="4" max="4" width="2.140625" style="1" customWidth="1"/>
    <col min="5" max="5" width="12" style="1" customWidth="1"/>
    <col min="6" max="6" width="1.7109375" style="1" customWidth="1"/>
    <col min="7" max="7" width="13.140625" style="1" customWidth="1"/>
    <col min="8" max="8" width="1.140625" style="1" customWidth="1"/>
    <col min="9" max="9" width="9.140625" style="1" hidden="1" customWidth="1" outlineLevel="1"/>
    <col min="10" max="10" width="1.140625" style="1" hidden="1" customWidth="1" outlineLevel="1"/>
    <col min="11" max="11" width="9.140625" style="1" collapsed="1"/>
    <col min="12" max="16384" width="9.140625" style="1"/>
  </cols>
  <sheetData>
    <row r="2" spans="2:14" x14ac:dyDescent="0.2">
      <c r="B2" s="3" t="s">
        <v>205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2:14" x14ac:dyDescent="0.2">
      <c r="B3" s="35"/>
      <c r="C3" s="35" t="s">
        <v>426</v>
      </c>
      <c r="D3" s="35"/>
      <c r="E3" s="242" t="s">
        <v>375</v>
      </c>
      <c r="F3" s="35"/>
      <c r="G3" s="90">
        <v>1</v>
      </c>
      <c r="H3" s="35"/>
      <c r="I3" s="35"/>
      <c r="J3" s="35"/>
      <c r="K3" s="35"/>
      <c r="L3" s="35"/>
      <c r="M3" s="35"/>
      <c r="N3" s="35"/>
    </row>
    <row r="5" spans="2:14" x14ac:dyDescent="0.2">
      <c r="B5" s="71" t="s">
        <v>206</v>
      </c>
      <c r="D5" s="71"/>
      <c r="E5" s="214"/>
      <c r="F5" s="71"/>
      <c r="G5" s="72">
        <v>1</v>
      </c>
      <c r="K5" s="73">
        <v>1</v>
      </c>
      <c r="L5" s="74">
        <f>+K5+1</f>
        <v>2</v>
      </c>
      <c r="M5" s="74">
        <f>+L5+1</f>
        <v>3</v>
      </c>
      <c r="N5" s="74">
        <f>+M5+1</f>
        <v>4</v>
      </c>
    </row>
    <row r="7" spans="2:14" ht="25.5" x14ac:dyDescent="0.2">
      <c r="B7" s="71" t="s">
        <v>207</v>
      </c>
      <c r="D7" s="75"/>
      <c r="E7" s="76"/>
      <c r="F7" s="75"/>
      <c r="G7" s="77" t="str">
        <f ca="1">+OFFSET(J7,,$G$5)</f>
        <v>Base</v>
      </c>
      <c r="I7" s="330" t="s">
        <v>630</v>
      </c>
      <c r="K7" s="304" t="s">
        <v>209</v>
      </c>
      <c r="L7" s="304" t="s">
        <v>603</v>
      </c>
      <c r="M7" s="304" t="s">
        <v>604</v>
      </c>
      <c r="N7" s="304" t="s">
        <v>208</v>
      </c>
    </row>
    <row r="8" spans="2:14" x14ac:dyDescent="0.2">
      <c r="B8" s="80" t="s">
        <v>397</v>
      </c>
      <c r="D8" s="75"/>
      <c r="E8" s="76"/>
      <c r="F8" s="75"/>
      <c r="G8" s="203"/>
    </row>
    <row r="9" spans="2:14" x14ac:dyDescent="0.2">
      <c r="B9" s="71"/>
      <c r="C9" s="1" t="s">
        <v>340</v>
      </c>
      <c r="D9" s="75"/>
      <c r="E9" s="45" t="s">
        <v>177</v>
      </c>
      <c r="F9" s="75"/>
      <c r="G9" s="174">
        <f ca="1">+OFFSET(J9,,$G$5)</f>
        <v>7.9261321941756702</v>
      </c>
      <c r="K9" s="204">
        <f ca="1">+IF($G$5=K$5,Valuation!$D$60,K9)</f>
        <v>7.9261321941756702</v>
      </c>
      <c r="L9" s="204">
        <f ca="1">+IF($G$5=L$5,Valuation!$D$60,L9)</f>
        <v>8.546241212261469</v>
      </c>
      <c r="M9" s="204">
        <f ca="1">+IF($G$5=M$5,Valuation!$D$60,M9)</f>
        <v>8.6746317216979403</v>
      </c>
      <c r="N9" s="204">
        <f ca="1">+IF($G$5=N$5,Valuation!$D$60,N9)</f>
        <v>9.2905083797320067</v>
      </c>
    </row>
    <row r="10" spans="2:14" x14ac:dyDescent="0.2">
      <c r="B10" s="71"/>
      <c r="C10" s="19" t="s">
        <v>398</v>
      </c>
      <c r="D10" s="75"/>
      <c r="E10" s="45" t="s">
        <v>177</v>
      </c>
      <c r="F10" s="75"/>
      <c r="G10" s="95">
        <f ca="1">+OFFSET(J10,,$G$5)</f>
        <v>0.32102203236261162</v>
      </c>
      <c r="K10" s="205">
        <f ca="1">+K9/K$16-1</f>
        <v>0.32102203236261162</v>
      </c>
      <c r="L10" s="205">
        <f ca="1">+L9/L$16-1</f>
        <v>0.42437353537691158</v>
      </c>
      <c r="M10" s="205">
        <f ca="1">+M9/M$16-1</f>
        <v>0.44577195361632338</v>
      </c>
      <c r="N10" s="205">
        <f ca="1">+N9/N$16-1</f>
        <v>0.54841806328866771</v>
      </c>
    </row>
    <row r="11" spans="2:14" x14ac:dyDescent="0.2">
      <c r="B11" s="71"/>
      <c r="C11" s="1" t="s">
        <v>408</v>
      </c>
      <c r="D11" s="75"/>
      <c r="E11" s="45"/>
      <c r="F11" s="75"/>
      <c r="G11" s="95">
        <f ca="1">+OFFSET(J11,,$G$5)</f>
        <v>0.19531261324882507</v>
      </c>
      <c r="K11" s="210">
        <f ca="1">+IF($G$5=K$5,Valuation!$D$91,K11)</f>
        <v>0.19531261324882507</v>
      </c>
      <c r="L11" s="210">
        <f ca="1">+IF($G$5=L$5,Valuation!$D$91,L11)</f>
        <v>0.21401453614234928</v>
      </c>
      <c r="M11" s="210">
        <f ca="1">+IF($G$5=M$5,Valuation!$D$91,M11)</f>
        <v>0.21835252642631531</v>
      </c>
      <c r="N11" s="210">
        <f ca="1">+IF($G$5=N$5,Valuation!$D$91,N11)</f>
        <v>0.23532299399375914</v>
      </c>
    </row>
    <row r="12" spans="2:14" ht="2.25" customHeight="1" x14ac:dyDescent="0.2">
      <c r="G12" s="78"/>
    </row>
    <row r="13" spans="2:14" x14ac:dyDescent="0.2">
      <c r="B13" s="80" t="s">
        <v>626</v>
      </c>
      <c r="C13" s="76"/>
      <c r="D13" s="75"/>
      <c r="E13" s="75"/>
      <c r="F13" s="75"/>
      <c r="G13" s="78"/>
    </row>
    <row r="14" spans="2:14" x14ac:dyDescent="0.2">
      <c r="B14" s="80"/>
      <c r="C14" s="182" t="s">
        <v>354</v>
      </c>
      <c r="D14" s="75"/>
      <c r="E14" s="8" t="s">
        <v>295</v>
      </c>
      <c r="F14" s="75"/>
      <c r="G14" s="174" t="str">
        <f ca="1">+IF(ISBLANK(I14),OFFSET(J14,,$G$5),I14)</f>
        <v>1Q21</v>
      </c>
      <c r="I14" s="319"/>
      <c r="K14" s="183" t="str">
        <f>+ROUNDUP(MONTH(K15)/3,0)&amp;"Q"&amp;RIGHT(YEAR(K15),2)</f>
        <v>1Q21</v>
      </c>
      <c r="L14" s="183" t="str">
        <f>+ROUNDUP(MONTH(L15)/3,0)&amp;"Q"&amp;RIGHT(YEAR(L15),2)</f>
        <v>1Q21</v>
      </c>
      <c r="M14" s="183" t="str">
        <f>+ROUNDUP(MONTH(M15)/3,0)&amp;"Q"&amp;RIGHT(YEAR(M15),2)</f>
        <v>1Q21</v>
      </c>
      <c r="N14" s="183" t="str">
        <f>+ROUNDUP(MONTH(N15)/3,0)&amp;"Q"&amp;RIGHT(YEAR(N15),2)</f>
        <v>1Q21</v>
      </c>
    </row>
    <row r="15" spans="2:14" x14ac:dyDescent="0.2">
      <c r="B15" s="80"/>
      <c r="C15" s="182" t="s">
        <v>355</v>
      </c>
      <c r="D15" s="75"/>
      <c r="E15" s="8" t="s">
        <v>356</v>
      </c>
      <c r="F15" s="75"/>
      <c r="G15" s="185">
        <f t="shared" ref="G15:G24" ca="1" si="0">+IF(ISBLANK(I15),OFFSET(J15,,$G$5),I15)</f>
        <v>44286</v>
      </c>
      <c r="I15" s="320"/>
      <c r="K15" s="184">
        <v>44286</v>
      </c>
      <c r="L15" s="184">
        <v>44286</v>
      </c>
      <c r="M15" s="184">
        <v>44286</v>
      </c>
      <c r="N15" s="184">
        <v>44286</v>
      </c>
    </row>
    <row r="16" spans="2:14" x14ac:dyDescent="0.2">
      <c r="C16" s="1" t="s">
        <v>340</v>
      </c>
      <c r="E16" s="45" t="s">
        <v>338</v>
      </c>
      <c r="G16" s="174">
        <f t="shared" ca="1" si="0"/>
        <v>6</v>
      </c>
      <c r="I16" s="321"/>
      <c r="K16" s="173">
        <v>6</v>
      </c>
      <c r="L16" s="173">
        <v>6</v>
      </c>
      <c r="M16" s="173">
        <v>6</v>
      </c>
      <c r="N16" s="173">
        <v>6</v>
      </c>
    </row>
    <row r="17" spans="2:14" x14ac:dyDescent="0.2">
      <c r="C17" s="155" t="s">
        <v>358</v>
      </c>
      <c r="E17" s="45" t="s">
        <v>177</v>
      </c>
      <c r="G17" s="95">
        <f t="shared" ca="1" si="0"/>
        <v>0.125</v>
      </c>
      <c r="H17" s="103"/>
      <c r="I17" s="322"/>
      <c r="J17" s="103"/>
      <c r="K17" s="93">
        <v>0.125</v>
      </c>
      <c r="L17" s="93">
        <v>0.125</v>
      </c>
      <c r="M17" s="93">
        <v>0.125</v>
      </c>
      <c r="N17" s="93">
        <v>0.125</v>
      </c>
    </row>
    <row r="18" spans="2:14" x14ac:dyDescent="0.2">
      <c r="C18" s="155" t="s">
        <v>359</v>
      </c>
      <c r="E18" s="45" t="s">
        <v>177</v>
      </c>
      <c r="G18" s="95">
        <f t="shared" ca="1" si="0"/>
        <v>7.4999999999999997E-2</v>
      </c>
      <c r="H18" s="103"/>
      <c r="I18" s="322"/>
      <c r="J18" s="103"/>
      <c r="K18" s="93">
        <v>7.4999999999999997E-2</v>
      </c>
      <c r="L18" s="93">
        <v>7.4999999999999997E-2</v>
      </c>
      <c r="M18" s="93">
        <v>7.4999999999999997E-2</v>
      </c>
      <c r="N18" s="93">
        <v>7.4999999999999997E-2</v>
      </c>
    </row>
    <row r="19" spans="2:14" x14ac:dyDescent="0.2">
      <c r="C19" s="155" t="s">
        <v>360</v>
      </c>
      <c r="E19" s="45" t="s">
        <v>177</v>
      </c>
      <c r="G19" s="95">
        <f t="shared" ca="1" si="0"/>
        <v>0.15</v>
      </c>
      <c r="H19" s="103"/>
      <c r="I19" s="322"/>
      <c r="J19" s="103"/>
      <c r="K19" s="93">
        <v>0.15</v>
      </c>
      <c r="L19" s="93">
        <v>0.15</v>
      </c>
      <c r="M19" s="93">
        <v>0.15</v>
      </c>
      <c r="N19" s="93">
        <v>0.15</v>
      </c>
    </row>
    <row r="20" spans="2:14" x14ac:dyDescent="0.2">
      <c r="C20" s="155" t="s">
        <v>418</v>
      </c>
      <c r="E20" s="45" t="s">
        <v>177</v>
      </c>
      <c r="G20" s="95">
        <f t="shared" ca="1" si="0"/>
        <v>0.27500000000000002</v>
      </c>
      <c r="H20" s="103"/>
      <c r="I20" s="322"/>
      <c r="J20" s="103"/>
      <c r="K20" s="93">
        <v>0.27500000000000002</v>
      </c>
      <c r="L20" s="93">
        <v>0.27500000000000002</v>
      </c>
      <c r="M20" s="93">
        <v>0.27500000000000002</v>
      </c>
      <c r="N20" s="93">
        <v>0.27500000000000002</v>
      </c>
    </row>
    <row r="21" spans="2:14" x14ac:dyDescent="0.2">
      <c r="C21" s="155" t="s">
        <v>429</v>
      </c>
      <c r="E21" s="45" t="s">
        <v>177</v>
      </c>
      <c r="G21" s="95">
        <f t="shared" ca="1" si="0"/>
        <v>0.03</v>
      </c>
      <c r="H21" s="103"/>
      <c r="I21" s="322"/>
      <c r="J21" s="103"/>
      <c r="K21" s="93">
        <v>0.03</v>
      </c>
      <c r="L21" s="93">
        <v>0.03</v>
      </c>
      <c r="M21" s="93">
        <v>0.03</v>
      </c>
      <c r="N21" s="93">
        <v>0.03</v>
      </c>
    </row>
    <row r="22" spans="2:14" x14ac:dyDescent="0.2">
      <c r="C22" s="155" t="s">
        <v>361</v>
      </c>
      <c r="E22" s="45" t="s">
        <v>199</v>
      </c>
      <c r="G22" s="186">
        <f t="shared" ca="1" si="0"/>
        <v>9.1999999999999993</v>
      </c>
      <c r="I22" s="323"/>
      <c r="K22" s="187">
        <v>9.1999999999999993</v>
      </c>
      <c r="L22" s="187">
        <v>9.1999999999999993</v>
      </c>
      <c r="M22" s="187">
        <v>9.1999999999999993</v>
      </c>
      <c r="N22" s="187">
        <v>9.1999999999999993</v>
      </c>
    </row>
    <row r="23" spans="2:14" x14ac:dyDescent="0.2">
      <c r="C23" s="155" t="s">
        <v>383</v>
      </c>
      <c r="E23" s="8" t="s">
        <v>295</v>
      </c>
      <c r="G23" s="188" t="str">
        <f t="shared" ca="1" si="0"/>
        <v>4Q26</v>
      </c>
      <c r="I23" s="320"/>
      <c r="K23" s="184" t="s">
        <v>382</v>
      </c>
      <c r="L23" s="184" t="s">
        <v>382</v>
      </c>
      <c r="M23" s="184" t="s">
        <v>382</v>
      </c>
      <c r="N23" s="184" t="s">
        <v>382</v>
      </c>
    </row>
    <row r="24" spans="2:14" x14ac:dyDescent="0.2">
      <c r="C24" s="155" t="s">
        <v>314</v>
      </c>
      <c r="E24" s="45" t="s">
        <v>177</v>
      </c>
      <c r="G24" s="95">
        <f t="shared" ca="1" si="0"/>
        <v>0.25</v>
      </c>
      <c r="H24" s="103"/>
      <c r="I24" s="322"/>
      <c r="J24" s="103"/>
      <c r="K24" s="93">
        <v>0.25</v>
      </c>
      <c r="L24" s="93">
        <v>0.25</v>
      </c>
      <c r="M24" s="93">
        <v>0.25</v>
      </c>
      <c r="N24" s="93">
        <v>0.25</v>
      </c>
    </row>
    <row r="25" spans="2:14" ht="2.25" customHeight="1" x14ac:dyDescent="0.2">
      <c r="G25" s="78"/>
      <c r="I25" s="98"/>
    </row>
    <row r="26" spans="2:14" x14ac:dyDescent="0.2">
      <c r="B26" s="80" t="s">
        <v>216</v>
      </c>
      <c r="C26" s="76"/>
      <c r="D26" s="75"/>
      <c r="E26" s="75"/>
      <c r="F26" s="75"/>
      <c r="G26" s="78"/>
      <c r="I26" s="98"/>
    </row>
    <row r="27" spans="2:14" x14ac:dyDescent="0.2">
      <c r="C27" s="1" t="s">
        <v>238</v>
      </c>
      <c r="E27" s="8" t="s">
        <v>357</v>
      </c>
      <c r="G27" s="78">
        <f t="shared" ref="G27:G34" ca="1" si="1">+IF(ISBLANK(I27),OFFSET(J27,,$G$5),I27)</f>
        <v>1</v>
      </c>
      <c r="I27" s="324"/>
      <c r="K27" s="79">
        <v>1</v>
      </c>
      <c r="L27" s="79">
        <v>1</v>
      </c>
      <c r="M27" s="79">
        <v>1</v>
      </c>
      <c r="N27" s="79">
        <v>1</v>
      </c>
    </row>
    <row r="28" spans="2:14" x14ac:dyDescent="0.2">
      <c r="C28" s="1" t="s">
        <v>237</v>
      </c>
      <c r="E28" s="8" t="s">
        <v>357</v>
      </c>
      <c r="G28" s="78">
        <f t="shared" ca="1" si="1"/>
        <v>1</v>
      </c>
      <c r="I28" s="324"/>
      <c r="K28" s="79">
        <v>1</v>
      </c>
      <c r="L28" s="79">
        <v>1</v>
      </c>
      <c r="M28" s="79">
        <v>1</v>
      </c>
      <c r="N28" s="79">
        <v>1</v>
      </c>
    </row>
    <row r="29" spans="2:14" x14ac:dyDescent="0.2">
      <c r="C29" s="1" t="s">
        <v>550</v>
      </c>
      <c r="E29" s="8" t="s">
        <v>177</v>
      </c>
      <c r="G29" s="95">
        <f t="shared" ca="1" si="1"/>
        <v>0</v>
      </c>
      <c r="H29" s="103"/>
      <c r="I29" s="322"/>
      <c r="J29" s="103"/>
      <c r="K29" s="93">
        <v>0</v>
      </c>
      <c r="L29" s="93">
        <v>0</v>
      </c>
      <c r="M29" s="93">
        <v>0</v>
      </c>
      <c r="N29" s="93">
        <v>0</v>
      </c>
    </row>
    <row r="30" spans="2:14" x14ac:dyDescent="0.2">
      <c r="C30" s="1" t="s">
        <v>545</v>
      </c>
      <c r="E30" s="8" t="s">
        <v>357</v>
      </c>
      <c r="G30" s="78">
        <f t="shared" ca="1" si="1"/>
        <v>1</v>
      </c>
      <c r="I30" s="324"/>
      <c r="K30" s="79">
        <v>1</v>
      </c>
      <c r="L30" s="79">
        <v>1</v>
      </c>
      <c r="M30" s="79">
        <v>1</v>
      </c>
      <c r="N30" s="79">
        <v>1</v>
      </c>
    </row>
    <row r="31" spans="2:14" x14ac:dyDescent="0.2">
      <c r="C31" s="1" t="s">
        <v>544</v>
      </c>
      <c r="E31" s="8" t="s">
        <v>357</v>
      </c>
      <c r="G31" s="78">
        <f t="shared" ca="1" si="1"/>
        <v>1</v>
      </c>
      <c r="I31" s="324"/>
      <c r="K31" s="79">
        <v>1</v>
      </c>
      <c r="L31" s="79">
        <v>1</v>
      </c>
      <c r="M31" s="79">
        <v>1</v>
      </c>
      <c r="N31" s="79">
        <v>1</v>
      </c>
    </row>
    <row r="32" spans="2:14" x14ac:dyDescent="0.2">
      <c r="C32" s="1" t="s">
        <v>549</v>
      </c>
      <c r="E32" s="8" t="s">
        <v>177</v>
      </c>
      <c r="G32" s="95">
        <f t="shared" ca="1" si="1"/>
        <v>0.75</v>
      </c>
      <c r="H32" s="103"/>
      <c r="I32" s="322"/>
      <c r="J32" s="103"/>
      <c r="K32" s="93">
        <v>0.75</v>
      </c>
      <c r="L32" s="93">
        <v>0.75</v>
      </c>
      <c r="M32" s="93">
        <v>0.75</v>
      </c>
      <c r="N32" s="93">
        <v>0.75</v>
      </c>
    </row>
    <row r="33" spans="2:14" x14ac:dyDescent="0.2">
      <c r="C33" s="1" t="s">
        <v>241</v>
      </c>
      <c r="E33" s="8" t="s">
        <v>177</v>
      </c>
      <c r="G33" s="95">
        <f t="shared" ca="1" si="1"/>
        <v>0.5</v>
      </c>
      <c r="H33" s="103"/>
      <c r="I33" s="322"/>
      <c r="J33" s="103"/>
      <c r="K33" s="93">
        <v>0.5</v>
      </c>
      <c r="L33" s="93">
        <v>0.5</v>
      </c>
      <c r="M33" s="93">
        <v>0.5</v>
      </c>
      <c r="N33" s="93">
        <v>0.5</v>
      </c>
    </row>
    <row r="34" spans="2:14" x14ac:dyDescent="0.2">
      <c r="C34" s="1" t="s">
        <v>576</v>
      </c>
      <c r="E34" s="8" t="s">
        <v>357</v>
      </c>
      <c r="G34" s="78">
        <f t="shared" ca="1" si="1"/>
        <v>1</v>
      </c>
      <c r="I34" s="324"/>
      <c r="K34" s="79">
        <v>1</v>
      </c>
      <c r="L34" s="79">
        <v>1</v>
      </c>
      <c r="M34" s="79">
        <v>1</v>
      </c>
      <c r="N34" s="79">
        <v>1</v>
      </c>
    </row>
    <row r="35" spans="2:14" ht="2.25" customHeight="1" x14ac:dyDescent="0.2">
      <c r="G35" s="78"/>
      <c r="I35" s="98"/>
    </row>
    <row r="36" spans="2:14" x14ac:dyDescent="0.2">
      <c r="B36" s="80" t="s">
        <v>248</v>
      </c>
      <c r="C36" s="76"/>
      <c r="D36" s="75"/>
      <c r="E36" s="75"/>
      <c r="F36" s="75"/>
      <c r="G36" s="78"/>
      <c r="I36" s="98"/>
    </row>
    <row r="37" spans="2:14" x14ac:dyDescent="0.2">
      <c r="C37" s="1" t="s">
        <v>257</v>
      </c>
      <c r="E37" s="8" t="s">
        <v>357</v>
      </c>
      <c r="G37" s="78">
        <f t="shared" ref="G37:G41" ca="1" si="2">+IF(ISBLANK(I37),OFFSET(J37,,$G$5),I37)</f>
        <v>1</v>
      </c>
      <c r="I37" s="324"/>
      <c r="K37" s="79">
        <v>1</v>
      </c>
      <c r="L37" s="79">
        <v>1</v>
      </c>
      <c r="M37" s="79">
        <v>1</v>
      </c>
      <c r="N37" s="79">
        <v>1</v>
      </c>
    </row>
    <row r="38" spans="2:14" x14ac:dyDescent="0.2">
      <c r="C38" s="1" t="s">
        <v>258</v>
      </c>
      <c r="E38" s="8" t="s">
        <v>357</v>
      </c>
      <c r="G38" s="78">
        <f t="shared" ca="1" si="2"/>
        <v>1</v>
      </c>
      <c r="I38" s="324"/>
      <c r="K38" s="79">
        <v>1</v>
      </c>
      <c r="L38" s="79">
        <v>1</v>
      </c>
      <c r="M38" s="79">
        <v>1</v>
      </c>
      <c r="N38" s="79">
        <v>1</v>
      </c>
    </row>
    <row r="39" spans="2:14" x14ac:dyDescent="0.2">
      <c r="C39" s="1" t="s">
        <v>249</v>
      </c>
      <c r="E39" s="45" t="s">
        <v>177</v>
      </c>
      <c r="G39" s="95">
        <f t="shared" ca="1" si="2"/>
        <v>1</v>
      </c>
      <c r="I39" s="322"/>
      <c r="K39" s="93">
        <v>1</v>
      </c>
      <c r="L39" s="93">
        <v>1</v>
      </c>
      <c r="M39" s="93">
        <v>1</v>
      </c>
      <c r="N39" s="93">
        <v>1</v>
      </c>
    </row>
    <row r="40" spans="2:14" x14ac:dyDescent="0.2">
      <c r="C40" s="1" t="s">
        <v>254</v>
      </c>
      <c r="E40" s="45" t="s">
        <v>177</v>
      </c>
      <c r="G40" s="95">
        <f t="shared" ca="1" si="2"/>
        <v>1</v>
      </c>
      <c r="H40" s="103"/>
      <c r="I40" s="322"/>
      <c r="J40" s="103"/>
      <c r="K40" s="93">
        <v>1</v>
      </c>
      <c r="L40" s="93">
        <v>1</v>
      </c>
      <c r="M40" s="93">
        <v>1</v>
      </c>
      <c r="N40" s="93">
        <v>1</v>
      </c>
    </row>
    <row r="41" spans="2:14" x14ac:dyDescent="0.2">
      <c r="C41" s="1" t="s">
        <v>576</v>
      </c>
      <c r="E41" s="8" t="s">
        <v>357</v>
      </c>
      <c r="G41" s="78">
        <f t="shared" ca="1" si="2"/>
        <v>1</v>
      </c>
      <c r="I41" s="324"/>
      <c r="K41" s="79">
        <v>1</v>
      </c>
      <c r="L41" s="79">
        <v>1</v>
      </c>
      <c r="M41" s="79">
        <v>1</v>
      </c>
      <c r="N41" s="79">
        <v>1</v>
      </c>
    </row>
    <row r="42" spans="2:14" ht="2.25" customHeight="1" x14ac:dyDescent="0.2">
      <c r="G42" s="78"/>
      <c r="I42" s="98"/>
    </row>
    <row r="43" spans="2:14" x14ac:dyDescent="0.2">
      <c r="B43" s="80" t="s">
        <v>219</v>
      </c>
      <c r="G43" s="78"/>
      <c r="I43" s="98"/>
    </row>
    <row r="44" spans="2:14" x14ac:dyDescent="0.2">
      <c r="C44" s="1" t="s">
        <v>220</v>
      </c>
      <c r="E44" s="8" t="s">
        <v>357</v>
      </c>
      <c r="G44" s="78">
        <f t="shared" ref="G44:G45" ca="1" si="3">+IF(ISBLANK(I44),OFFSET(J44,,$G$5),I44)</f>
        <v>1</v>
      </c>
      <c r="I44" s="324"/>
      <c r="K44" s="79">
        <v>1</v>
      </c>
      <c r="L44" s="79">
        <v>1</v>
      </c>
      <c r="M44" s="79">
        <v>1</v>
      </c>
      <c r="N44" s="79">
        <v>1</v>
      </c>
    </row>
    <row r="45" spans="2:14" x14ac:dyDescent="0.2">
      <c r="C45" s="1" t="s">
        <v>215</v>
      </c>
      <c r="E45" s="8" t="s">
        <v>357</v>
      </c>
      <c r="G45" s="78">
        <f t="shared" ca="1" si="3"/>
        <v>1</v>
      </c>
      <c r="I45" s="324"/>
      <c r="K45" s="79">
        <v>1</v>
      </c>
      <c r="L45" s="79">
        <v>1</v>
      </c>
      <c r="M45" s="79">
        <v>1</v>
      </c>
      <c r="N45" s="79">
        <v>1</v>
      </c>
    </row>
    <row r="46" spans="2:14" ht="2.25" customHeight="1" x14ac:dyDescent="0.2">
      <c r="G46" s="78"/>
      <c r="I46" s="98"/>
    </row>
    <row r="47" spans="2:14" x14ac:dyDescent="0.2">
      <c r="B47" s="80" t="s">
        <v>266</v>
      </c>
      <c r="G47" s="78"/>
      <c r="I47" s="98"/>
    </row>
    <row r="48" spans="2:14" x14ac:dyDescent="0.2">
      <c r="C48" s="1" t="s">
        <v>294</v>
      </c>
      <c r="E48" s="8" t="s">
        <v>295</v>
      </c>
      <c r="G48" s="78" t="str">
        <f t="shared" ref="G48:G53" ca="1" si="4">+IF(ISBLANK(I48),OFFSET(J48,,$G$5),I48)</f>
        <v>1Q22</v>
      </c>
      <c r="I48" s="324"/>
      <c r="K48" s="79" t="s">
        <v>378</v>
      </c>
      <c r="L48" s="79" t="s">
        <v>378</v>
      </c>
      <c r="M48" s="79" t="s">
        <v>378</v>
      </c>
      <c r="N48" s="79" t="s">
        <v>378</v>
      </c>
    </row>
    <row r="49" spans="2:14" x14ac:dyDescent="0.2">
      <c r="B49" s="80"/>
      <c r="C49" s="1" t="s">
        <v>296</v>
      </c>
      <c r="E49" s="8" t="s">
        <v>187</v>
      </c>
      <c r="G49" s="144">
        <f t="shared" ca="1" si="4"/>
        <v>10</v>
      </c>
      <c r="H49" s="145"/>
      <c r="I49" s="325"/>
      <c r="J49" s="145"/>
      <c r="K49" s="146">
        <v>10</v>
      </c>
      <c r="L49" s="146">
        <v>10</v>
      </c>
      <c r="M49" s="146">
        <v>10</v>
      </c>
      <c r="N49" s="146">
        <v>10</v>
      </c>
    </row>
    <row r="50" spans="2:14" x14ac:dyDescent="0.2">
      <c r="B50" s="80"/>
      <c r="C50" s="1" t="s">
        <v>409</v>
      </c>
      <c r="E50" s="8" t="s">
        <v>177</v>
      </c>
      <c r="G50" s="95">
        <f t="shared" ca="1" si="4"/>
        <v>0.05</v>
      </c>
      <c r="H50" s="103"/>
      <c r="I50" s="322"/>
      <c r="J50" s="103"/>
      <c r="K50" s="93">
        <v>0.05</v>
      </c>
      <c r="L50" s="93">
        <v>0.05</v>
      </c>
      <c r="M50" s="93">
        <v>0.05</v>
      </c>
      <c r="N50" s="93">
        <v>0.05</v>
      </c>
    </row>
    <row r="51" spans="2:14" x14ac:dyDescent="0.2">
      <c r="C51" s="1" t="s">
        <v>237</v>
      </c>
      <c r="E51" s="8" t="s">
        <v>357</v>
      </c>
      <c r="G51" s="78">
        <f t="shared" ca="1" si="4"/>
        <v>1</v>
      </c>
      <c r="I51" s="324"/>
      <c r="K51" s="79">
        <v>1</v>
      </c>
      <c r="L51" s="79">
        <v>1</v>
      </c>
      <c r="M51" s="79">
        <v>1</v>
      </c>
      <c r="N51" s="79">
        <v>1</v>
      </c>
    </row>
    <row r="52" spans="2:14" x14ac:dyDescent="0.2">
      <c r="B52" s="80"/>
      <c r="C52" s="1" t="s">
        <v>298</v>
      </c>
      <c r="E52" s="8" t="s">
        <v>357</v>
      </c>
      <c r="G52" s="78">
        <f t="shared" ca="1" si="4"/>
        <v>1</v>
      </c>
      <c r="I52" s="324"/>
      <c r="K52" s="79">
        <v>1</v>
      </c>
      <c r="L52" s="79">
        <v>1</v>
      </c>
      <c r="M52" s="79">
        <v>1</v>
      </c>
      <c r="N52" s="79">
        <v>1</v>
      </c>
    </row>
    <row r="53" spans="2:14" x14ac:dyDescent="0.2">
      <c r="C53" s="1" t="s">
        <v>215</v>
      </c>
      <c r="E53" s="8" t="s">
        <v>357</v>
      </c>
      <c r="G53" s="78">
        <f t="shared" ca="1" si="4"/>
        <v>1</v>
      </c>
      <c r="I53" s="324"/>
      <c r="K53" s="79">
        <v>1</v>
      </c>
      <c r="L53" s="79">
        <v>1</v>
      </c>
      <c r="M53" s="79">
        <v>1</v>
      </c>
      <c r="N53" s="79">
        <v>1</v>
      </c>
    </row>
    <row r="54" spans="2:14" ht="2.25" customHeight="1" x14ac:dyDescent="0.2">
      <c r="G54" s="78"/>
      <c r="I54" s="98"/>
    </row>
    <row r="55" spans="2:14" x14ac:dyDescent="0.2">
      <c r="B55" s="80" t="s">
        <v>302</v>
      </c>
      <c r="G55" s="78"/>
      <c r="I55" s="98"/>
    </row>
    <row r="56" spans="2:14" x14ac:dyDescent="0.2">
      <c r="C56" s="1" t="s">
        <v>303</v>
      </c>
      <c r="E56" s="8" t="s">
        <v>187</v>
      </c>
      <c r="G56" s="150">
        <f t="shared" ref="G56" ca="1" si="5">+IF(ISBLANK(I56),OFFSET(J56,,$G$5),I56)</f>
        <v>-70</v>
      </c>
      <c r="H56" s="151"/>
      <c r="I56" s="326"/>
      <c r="J56" s="151"/>
      <c r="K56" s="152">
        <v>-70</v>
      </c>
      <c r="L56" s="152">
        <v>-70</v>
      </c>
      <c r="M56" s="152">
        <v>-70</v>
      </c>
      <c r="N56" s="152">
        <v>-70</v>
      </c>
    </row>
    <row r="57" spans="2:14" ht="2.25" customHeight="1" x14ac:dyDescent="0.2">
      <c r="G57" s="78"/>
      <c r="I57" s="98"/>
    </row>
    <row r="58" spans="2:14" x14ac:dyDescent="0.2">
      <c r="B58" s="80" t="s">
        <v>600</v>
      </c>
      <c r="G58" s="78"/>
      <c r="I58" s="98"/>
    </row>
    <row r="59" spans="2:14" x14ac:dyDescent="0.2">
      <c r="C59" s="1" t="s">
        <v>601</v>
      </c>
      <c r="E59" s="8" t="s">
        <v>375</v>
      </c>
      <c r="G59" s="78">
        <f t="shared" ref="G59:G60" ca="1" si="6">+IF(ISBLANK(I59),OFFSET(J59,,$G$5),I59)</f>
        <v>0</v>
      </c>
      <c r="I59" s="324"/>
      <c r="K59" s="79">
        <v>0</v>
      </c>
      <c r="L59" s="317">
        <v>1</v>
      </c>
      <c r="M59" s="79">
        <v>0</v>
      </c>
      <c r="N59" s="317">
        <v>1</v>
      </c>
    </row>
    <row r="60" spans="2:14" x14ac:dyDescent="0.2">
      <c r="B60" s="80"/>
      <c r="C60" s="1" t="s">
        <v>602</v>
      </c>
      <c r="E60" s="8" t="s">
        <v>375</v>
      </c>
      <c r="G60" s="78">
        <f t="shared" ca="1" si="6"/>
        <v>0</v>
      </c>
      <c r="I60" s="324"/>
      <c r="K60" s="79">
        <v>0</v>
      </c>
      <c r="L60" s="79">
        <v>0</v>
      </c>
      <c r="M60" s="317">
        <v>1</v>
      </c>
      <c r="N60" s="317">
        <v>1</v>
      </c>
    </row>
    <row r="61" spans="2:14" ht="2.25" customHeight="1" x14ac:dyDescent="0.2">
      <c r="G61" s="78"/>
      <c r="I61" s="98"/>
    </row>
    <row r="62" spans="2:14" x14ac:dyDescent="0.2">
      <c r="B62" s="80" t="s">
        <v>213</v>
      </c>
      <c r="C62" s="76"/>
      <c r="D62" s="75"/>
      <c r="E62" s="75"/>
      <c r="F62" s="75"/>
      <c r="G62" s="78"/>
      <c r="I62" s="98"/>
    </row>
    <row r="63" spans="2:14" x14ac:dyDescent="0.2">
      <c r="C63" s="1" t="s">
        <v>212</v>
      </c>
      <c r="E63" s="45" t="s">
        <v>177</v>
      </c>
      <c r="G63" s="96">
        <f t="shared" ref="G63:G65" ca="1" si="7">+IF(ISBLANK(I63),OFFSET(J63,,$G$5),I63)</f>
        <v>0.04</v>
      </c>
      <c r="I63" s="327"/>
      <c r="K63" s="94">
        <v>0.04</v>
      </c>
      <c r="L63" s="94">
        <v>0.04</v>
      </c>
      <c r="M63" s="94">
        <v>0.04</v>
      </c>
      <c r="N63" s="94">
        <v>0.04</v>
      </c>
    </row>
    <row r="64" spans="2:14" x14ac:dyDescent="0.2">
      <c r="C64" s="1" t="s">
        <v>412</v>
      </c>
      <c r="E64" s="45" t="s">
        <v>177</v>
      </c>
      <c r="G64" s="96">
        <f t="shared" ca="1" si="7"/>
        <v>0.04</v>
      </c>
      <c r="I64" s="327"/>
      <c r="K64" s="94">
        <v>0.04</v>
      </c>
      <c r="L64" s="94">
        <v>0.04</v>
      </c>
      <c r="M64" s="94">
        <v>0.04</v>
      </c>
      <c r="N64" s="94">
        <v>0.04</v>
      </c>
    </row>
    <row r="65" spans="2:14" x14ac:dyDescent="0.2">
      <c r="C65" s="1" t="s">
        <v>413</v>
      </c>
      <c r="E65" s="45" t="s">
        <v>177</v>
      </c>
      <c r="G65" s="96">
        <f t="shared" ca="1" si="7"/>
        <v>0.02</v>
      </c>
      <c r="I65" s="327"/>
      <c r="K65" s="94">
        <v>0.02</v>
      </c>
      <c r="L65" s="94">
        <v>0.02</v>
      </c>
      <c r="M65" s="94">
        <v>0.02</v>
      </c>
      <c r="N65" s="94">
        <v>0.02</v>
      </c>
    </row>
    <row r="66" spans="2:14" ht="2.25" customHeight="1" x14ac:dyDescent="0.2">
      <c r="G66" s="78"/>
      <c r="I66" s="98"/>
    </row>
    <row r="67" spans="2:14" x14ac:dyDescent="0.2">
      <c r="B67" s="80" t="s">
        <v>86</v>
      </c>
      <c r="G67" s="78"/>
      <c r="I67" s="98"/>
    </row>
    <row r="68" spans="2:14" x14ac:dyDescent="0.2">
      <c r="C68" s="1" t="s">
        <v>350</v>
      </c>
      <c r="E68" s="8" t="s">
        <v>352</v>
      </c>
      <c r="G68" s="150">
        <f t="shared" ref="G68:G70" ca="1" si="8">+IF(ISBLANK(I68),OFFSET(J68,,$G$5),I68)</f>
        <v>35</v>
      </c>
      <c r="I68" s="326"/>
      <c r="K68" s="152">
        <v>35</v>
      </c>
      <c r="L68" s="152">
        <v>35</v>
      </c>
      <c r="M68" s="152">
        <v>35</v>
      </c>
      <c r="N68" s="152">
        <v>35</v>
      </c>
    </row>
    <row r="69" spans="2:14" x14ac:dyDescent="0.2">
      <c r="C69" s="1" t="s">
        <v>351</v>
      </c>
      <c r="E69" s="8" t="s">
        <v>352</v>
      </c>
      <c r="G69" s="150">
        <f t="shared" ca="1" si="8"/>
        <v>18</v>
      </c>
      <c r="H69" s="151"/>
      <c r="I69" s="326"/>
      <c r="J69" s="151"/>
      <c r="K69" s="152">
        <v>18</v>
      </c>
      <c r="L69" s="152">
        <v>18</v>
      </c>
      <c r="M69" s="152">
        <v>18</v>
      </c>
      <c r="N69" s="152">
        <v>18</v>
      </c>
    </row>
    <row r="70" spans="2:14" x14ac:dyDescent="0.2">
      <c r="C70" s="1" t="s">
        <v>440</v>
      </c>
      <c r="E70" s="8" t="s">
        <v>441</v>
      </c>
      <c r="G70" s="150">
        <f t="shared" ca="1" si="8"/>
        <v>35</v>
      </c>
      <c r="I70" s="326"/>
      <c r="K70" s="152">
        <v>35</v>
      </c>
      <c r="L70" s="152">
        <v>35</v>
      </c>
      <c r="M70" s="152">
        <v>35</v>
      </c>
      <c r="N70" s="152">
        <v>35</v>
      </c>
    </row>
    <row r="71" spans="2:14" ht="2.25" customHeight="1" x14ac:dyDescent="0.2">
      <c r="G71" s="78"/>
      <c r="I71" s="98"/>
    </row>
    <row r="72" spans="2:14" x14ac:dyDescent="0.2">
      <c r="B72" s="80" t="s">
        <v>368</v>
      </c>
      <c r="G72" s="78"/>
      <c r="I72" s="98"/>
    </row>
    <row r="73" spans="2:14" x14ac:dyDescent="0.2">
      <c r="C73" s="1" t="s">
        <v>452</v>
      </c>
      <c r="E73" s="8" t="s">
        <v>352</v>
      </c>
      <c r="G73" s="150">
        <f t="shared" ref="G73:G78" ca="1" si="9">+IF(ISBLANK(I73),OFFSET(J73,,$G$5),I73)</f>
        <v>500</v>
      </c>
      <c r="I73" s="326"/>
      <c r="K73" s="152">
        <v>500</v>
      </c>
      <c r="L73" s="152">
        <v>500</v>
      </c>
      <c r="M73" s="152">
        <v>500</v>
      </c>
      <c r="N73" s="152">
        <v>500</v>
      </c>
    </row>
    <row r="74" spans="2:14" x14ac:dyDescent="0.2">
      <c r="C74" s="1" t="s">
        <v>453</v>
      </c>
      <c r="E74" s="8" t="s">
        <v>352</v>
      </c>
      <c r="G74" s="150">
        <f t="shared" ca="1" si="9"/>
        <v>400</v>
      </c>
      <c r="H74" s="151"/>
      <c r="I74" s="326"/>
      <c r="J74" s="151"/>
      <c r="K74" s="152">
        <v>400</v>
      </c>
      <c r="L74" s="152">
        <v>400</v>
      </c>
      <c r="M74" s="152">
        <v>400</v>
      </c>
      <c r="N74" s="152">
        <v>400</v>
      </c>
    </row>
    <row r="75" spans="2:14" x14ac:dyDescent="0.2">
      <c r="C75" s="1" t="s">
        <v>454</v>
      </c>
      <c r="E75" s="45" t="s">
        <v>177</v>
      </c>
      <c r="G75" s="96">
        <f t="shared" ca="1" si="9"/>
        <v>0.09</v>
      </c>
      <c r="I75" s="327"/>
      <c r="K75" s="94">
        <v>0.09</v>
      </c>
      <c r="L75" s="94">
        <v>0.09</v>
      </c>
      <c r="M75" s="94">
        <v>0.09</v>
      </c>
      <c r="N75" s="94">
        <v>0.09</v>
      </c>
    </row>
    <row r="76" spans="2:14" x14ac:dyDescent="0.2">
      <c r="C76" s="1" t="s">
        <v>627</v>
      </c>
      <c r="E76" s="45" t="s">
        <v>177</v>
      </c>
      <c r="G76" s="96">
        <f t="shared" ca="1" si="9"/>
        <v>8.5000000000000006E-2</v>
      </c>
      <c r="I76" s="327"/>
      <c r="K76" s="94">
        <v>8.5000000000000006E-2</v>
      </c>
      <c r="L76" s="94">
        <v>8.5000000000000006E-2</v>
      </c>
      <c r="M76" s="94">
        <v>8.5000000000000006E-2</v>
      </c>
      <c r="N76" s="94">
        <v>8.5000000000000006E-2</v>
      </c>
    </row>
    <row r="77" spans="2:14" x14ac:dyDescent="0.2">
      <c r="C77" s="1" t="s">
        <v>628</v>
      </c>
      <c r="E77" s="45" t="s">
        <v>177</v>
      </c>
      <c r="G77" s="96">
        <f t="shared" ca="1" si="9"/>
        <v>0.08</v>
      </c>
      <c r="I77" s="327"/>
      <c r="K77" s="94">
        <v>0.08</v>
      </c>
      <c r="L77" s="94">
        <v>0.08</v>
      </c>
      <c r="M77" s="94">
        <v>0.08</v>
      </c>
      <c r="N77" s="94">
        <v>0.08</v>
      </c>
    </row>
    <row r="78" spans="2:14" x14ac:dyDescent="0.2">
      <c r="C78" s="1" t="s">
        <v>629</v>
      </c>
      <c r="E78" s="45" t="s">
        <v>177</v>
      </c>
      <c r="G78" s="96">
        <f t="shared" ca="1" si="9"/>
        <v>7.4999999999999997E-2</v>
      </c>
      <c r="I78" s="327"/>
      <c r="K78" s="94">
        <v>7.4999999999999997E-2</v>
      </c>
      <c r="L78" s="94">
        <v>7.4999999999999997E-2</v>
      </c>
      <c r="M78" s="94">
        <v>7.4999999999999997E-2</v>
      </c>
      <c r="N78" s="94">
        <v>7.4999999999999997E-2</v>
      </c>
    </row>
    <row r="79" spans="2:14" ht="2.25" customHeight="1" x14ac:dyDescent="0.2">
      <c r="G79" s="78"/>
      <c r="I79" s="98"/>
    </row>
    <row r="80" spans="2:14" x14ac:dyDescent="0.2">
      <c r="B80" s="80" t="s">
        <v>334</v>
      </c>
      <c r="G80" s="78"/>
      <c r="I80" s="98"/>
    </row>
    <row r="81" spans="2:14" x14ac:dyDescent="0.2">
      <c r="C81" s="1" t="s">
        <v>343</v>
      </c>
      <c r="E81" s="8" t="s">
        <v>357</v>
      </c>
      <c r="G81" s="246">
        <f t="shared" ref="G81:G82" ca="1" si="10">+IF(ISBLANK(I81),OFFSET(J81,,$G$5),I81)</f>
        <v>1</v>
      </c>
      <c r="I81" s="328"/>
      <c r="K81" s="245">
        <v>1</v>
      </c>
      <c r="L81" s="245">
        <v>1</v>
      </c>
      <c r="M81" s="245">
        <v>1</v>
      </c>
      <c r="N81" s="245">
        <v>1</v>
      </c>
    </row>
    <row r="82" spans="2:14" x14ac:dyDescent="0.2">
      <c r="C82" s="1" t="s">
        <v>458</v>
      </c>
      <c r="E82" s="8" t="s">
        <v>357</v>
      </c>
      <c r="G82" s="246">
        <f t="shared" ca="1" si="10"/>
        <v>1</v>
      </c>
      <c r="I82" s="328"/>
      <c r="K82" s="245">
        <v>1</v>
      </c>
      <c r="L82" s="245">
        <v>1</v>
      </c>
      <c r="M82" s="245">
        <v>1</v>
      </c>
      <c r="N82" s="245">
        <v>1</v>
      </c>
    </row>
    <row r="83" spans="2:14" ht="2.25" customHeight="1" x14ac:dyDescent="0.2">
      <c r="G83" s="78"/>
      <c r="I83" s="98"/>
    </row>
    <row r="84" spans="2:14" x14ac:dyDescent="0.2">
      <c r="B84" s="80" t="s">
        <v>376</v>
      </c>
      <c r="E84" s="8"/>
      <c r="G84" s="78"/>
      <c r="I84" s="98"/>
    </row>
    <row r="85" spans="2:14" x14ac:dyDescent="0.2">
      <c r="C85" s="1" t="s">
        <v>377</v>
      </c>
      <c r="E85" s="8" t="s">
        <v>375</v>
      </c>
      <c r="G85" s="78">
        <f t="shared" ref="G85:G89" ca="1" si="11">+IF(ISBLANK(I85),OFFSET(J85,,$G$5),I85)</f>
        <v>1</v>
      </c>
      <c r="I85" s="324"/>
      <c r="K85" s="79">
        <v>1</v>
      </c>
      <c r="L85" s="79">
        <v>1</v>
      </c>
      <c r="M85" s="79">
        <v>1</v>
      </c>
      <c r="N85" s="79">
        <v>1</v>
      </c>
    </row>
    <row r="86" spans="2:14" x14ac:dyDescent="0.2">
      <c r="C86" s="19" t="s">
        <v>637</v>
      </c>
      <c r="E86" s="8" t="s">
        <v>164</v>
      </c>
      <c r="G86" s="144">
        <f t="shared" ca="1" si="11"/>
        <v>175</v>
      </c>
      <c r="I86" s="324"/>
      <c r="K86" s="146">
        <v>175</v>
      </c>
      <c r="L86" s="146">
        <v>175</v>
      </c>
      <c r="M86" s="146">
        <v>175</v>
      </c>
      <c r="N86" s="146">
        <v>175</v>
      </c>
    </row>
    <row r="87" spans="2:14" x14ac:dyDescent="0.2">
      <c r="C87" s="19" t="s">
        <v>295</v>
      </c>
      <c r="E87" s="8" t="s">
        <v>295</v>
      </c>
      <c r="G87" s="150" t="str">
        <f t="shared" ca="1" si="11"/>
        <v>1Q22</v>
      </c>
      <c r="H87" s="151"/>
      <c r="I87" s="326"/>
      <c r="J87" s="151"/>
      <c r="K87" s="152" t="s">
        <v>378</v>
      </c>
      <c r="L87" s="152" t="s">
        <v>378</v>
      </c>
      <c r="M87" s="152" t="s">
        <v>378</v>
      </c>
      <c r="N87" s="152" t="s">
        <v>378</v>
      </c>
    </row>
    <row r="88" spans="2:14" x14ac:dyDescent="0.2">
      <c r="C88" s="19" t="s">
        <v>171</v>
      </c>
      <c r="E88" s="45" t="s">
        <v>177</v>
      </c>
      <c r="G88" s="96">
        <f t="shared" ca="1" si="11"/>
        <v>4.4999999999999998E-2</v>
      </c>
      <c r="H88" s="190"/>
      <c r="I88" s="329"/>
      <c r="J88" s="190"/>
      <c r="K88" s="191">
        <v>4.4999999999999998E-2</v>
      </c>
      <c r="L88" s="191">
        <v>4.4999999999999998E-2</v>
      </c>
      <c r="M88" s="191">
        <v>4.4999999999999998E-2</v>
      </c>
      <c r="N88" s="191">
        <v>4.4999999999999998E-2</v>
      </c>
    </row>
    <row r="89" spans="2:14" x14ac:dyDescent="0.2">
      <c r="C89" s="19" t="s">
        <v>379</v>
      </c>
      <c r="E89" s="8" t="s">
        <v>295</v>
      </c>
      <c r="G89" s="331" t="str">
        <f t="shared" ca="1" si="11"/>
        <v>1Q32</v>
      </c>
      <c r="H89" s="151"/>
      <c r="I89" s="326"/>
      <c r="J89" s="151"/>
      <c r="K89" s="152" t="s">
        <v>380</v>
      </c>
      <c r="L89" s="152" t="s">
        <v>380</v>
      </c>
      <c r="M89" s="152" t="s">
        <v>380</v>
      </c>
      <c r="N89" s="152" t="s">
        <v>380</v>
      </c>
    </row>
    <row r="90" spans="2:14" x14ac:dyDescent="0.2">
      <c r="I90" s="98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0BC49-2850-4028-9261-E9CC57B3CF43}">
  <sheetPr>
    <tabColor theme="5" tint="0.79998168889431442"/>
  </sheetPr>
  <dimension ref="A1:BE76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hidden="1" customWidth="1" outlineLevel="1"/>
    <col min="7" max="7" width="9.140625" style="1" collapsed="1"/>
    <col min="8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7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7" s="5" customFormat="1" ht="16.5" x14ac:dyDescent="0.3">
      <c r="A2" s="6" t="s">
        <v>263</v>
      </c>
      <c r="D2" s="211">
        <f ca="1">+Ctrl!G10</f>
        <v>0.32102203236261162</v>
      </c>
    </row>
    <row r="3" spans="1:57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BA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si="1"/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si="1"/>
        <v>2Q24</v>
      </c>
      <c r="AR3" s="8" t="str">
        <f t="shared" si="1"/>
        <v>3Q24</v>
      </c>
      <c r="AS3" s="8" t="str">
        <f t="shared" si="1"/>
        <v>4Q24</v>
      </c>
      <c r="AT3" s="8" t="str">
        <f t="shared" si="1"/>
        <v>1Q25</v>
      </c>
      <c r="AU3" s="8" t="str">
        <f t="shared" si="1"/>
        <v>2Q25</v>
      </c>
      <c r="AV3" s="8" t="str">
        <f t="shared" si="1"/>
        <v>3Q25</v>
      </c>
      <c r="AW3" s="8" t="str">
        <f t="shared" si="1"/>
        <v>4Q25</v>
      </c>
      <c r="AX3" s="8" t="str">
        <f t="shared" si="1"/>
        <v>1Q26</v>
      </c>
      <c r="AY3" s="8" t="str">
        <f t="shared" si="1"/>
        <v>2Q26</v>
      </c>
      <c r="AZ3" s="8" t="str">
        <f t="shared" si="1"/>
        <v>3Q26</v>
      </c>
      <c r="BA3" s="8" t="str">
        <f t="shared" si="1"/>
        <v>4Q26</v>
      </c>
      <c r="BB3" s="8" t="s">
        <v>75</v>
      </c>
    </row>
    <row r="4" spans="1:57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2">+H5+1</f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R4" s="10">
        <v>43101</v>
      </c>
      <c r="S4" s="7">
        <f t="shared" ref="S4:BA4" si="3">+R5+1</f>
        <v>43191</v>
      </c>
      <c r="T4" s="7">
        <f t="shared" si="3"/>
        <v>43282</v>
      </c>
      <c r="U4" s="7">
        <f t="shared" si="3"/>
        <v>43374</v>
      </c>
      <c r="V4" s="7">
        <f t="shared" si="3"/>
        <v>43466</v>
      </c>
      <c r="W4" s="7">
        <f t="shared" si="3"/>
        <v>43556</v>
      </c>
      <c r="X4" s="7">
        <f t="shared" si="3"/>
        <v>43647</v>
      </c>
      <c r="Y4" s="7">
        <f t="shared" si="3"/>
        <v>43739</v>
      </c>
      <c r="Z4" s="7">
        <f t="shared" si="3"/>
        <v>43831</v>
      </c>
      <c r="AA4" s="7">
        <f t="shared" si="3"/>
        <v>43922</v>
      </c>
      <c r="AB4" s="7">
        <f t="shared" si="3"/>
        <v>44013</v>
      </c>
      <c r="AC4" s="7">
        <f t="shared" si="3"/>
        <v>44105</v>
      </c>
      <c r="AD4" s="7">
        <f t="shared" si="3"/>
        <v>44197</v>
      </c>
      <c r="AE4" s="7">
        <f t="shared" si="3"/>
        <v>44287</v>
      </c>
      <c r="AF4" s="7">
        <f t="shared" si="3"/>
        <v>44378</v>
      </c>
      <c r="AG4" s="7">
        <f t="shared" si="3"/>
        <v>44470</v>
      </c>
      <c r="AH4" s="7">
        <f t="shared" si="3"/>
        <v>44562</v>
      </c>
      <c r="AI4" s="7">
        <f t="shared" si="3"/>
        <v>44652</v>
      </c>
      <c r="AJ4" s="7">
        <f t="shared" si="3"/>
        <v>44743</v>
      </c>
      <c r="AK4" s="7">
        <f t="shared" si="3"/>
        <v>44835</v>
      </c>
      <c r="AL4" s="7">
        <f t="shared" si="3"/>
        <v>44927</v>
      </c>
      <c r="AM4" s="7">
        <f t="shared" si="3"/>
        <v>45017</v>
      </c>
      <c r="AN4" s="7">
        <f t="shared" si="3"/>
        <v>45108</v>
      </c>
      <c r="AO4" s="7">
        <f t="shared" si="3"/>
        <v>45200</v>
      </c>
      <c r="AP4" s="7">
        <f t="shared" si="3"/>
        <v>45292</v>
      </c>
      <c r="AQ4" s="7">
        <f t="shared" si="3"/>
        <v>45383</v>
      </c>
      <c r="AR4" s="7">
        <f t="shared" si="3"/>
        <v>45474</v>
      </c>
      <c r="AS4" s="7">
        <f t="shared" si="3"/>
        <v>45566</v>
      </c>
      <c r="AT4" s="7">
        <f t="shared" si="3"/>
        <v>45658</v>
      </c>
      <c r="AU4" s="7">
        <f t="shared" si="3"/>
        <v>45748</v>
      </c>
      <c r="AV4" s="7">
        <f t="shared" si="3"/>
        <v>45839</v>
      </c>
      <c r="AW4" s="7">
        <f t="shared" si="3"/>
        <v>45931</v>
      </c>
      <c r="AX4" s="7">
        <f t="shared" si="3"/>
        <v>46023</v>
      </c>
      <c r="AY4" s="7">
        <f t="shared" si="3"/>
        <v>46113</v>
      </c>
      <c r="AZ4" s="7">
        <f t="shared" si="3"/>
        <v>46204</v>
      </c>
      <c r="BA4" s="7">
        <f t="shared" si="3"/>
        <v>46296</v>
      </c>
      <c r="BB4" s="8" t="s">
        <v>75</v>
      </c>
    </row>
    <row r="5" spans="1:57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4">+EOMONTH(I4,11)</f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R5" s="7">
        <f t="shared" ref="R5:BA5" si="5">+EOMONTH(R4,2)</f>
        <v>43190</v>
      </c>
      <c r="S5" s="7">
        <f t="shared" si="5"/>
        <v>43281</v>
      </c>
      <c r="T5" s="7">
        <f t="shared" si="5"/>
        <v>43373</v>
      </c>
      <c r="U5" s="7">
        <f t="shared" si="5"/>
        <v>43465</v>
      </c>
      <c r="V5" s="7">
        <f t="shared" si="5"/>
        <v>43555</v>
      </c>
      <c r="W5" s="7">
        <f t="shared" si="5"/>
        <v>43646</v>
      </c>
      <c r="X5" s="7">
        <f t="shared" si="5"/>
        <v>43738</v>
      </c>
      <c r="Y5" s="7">
        <f t="shared" si="5"/>
        <v>43830</v>
      </c>
      <c r="Z5" s="7">
        <f t="shared" si="5"/>
        <v>43921</v>
      </c>
      <c r="AA5" s="7">
        <f t="shared" si="5"/>
        <v>44012</v>
      </c>
      <c r="AB5" s="7">
        <f t="shared" si="5"/>
        <v>44104</v>
      </c>
      <c r="AC5" s="7">
        <f t="shared" si="5"/>
        <v>44196</v>
      </c>
      <c r="AD5" s="7">
        <f t="shared" si="5"/>
        <v>44286</v>
      </c>
      <c r="AE5" s="7">
        <f t="shared" si="5"/>
        <v>44377</v>
      </c>
      <c r="AF5" s="7">
        <f t="shared" si="5"/>
        <v>44469</v>
      </c>
      <c r="AG5" s="7">
        <f t="shared" si="5"/>
        <v>44561</v>
      </c>
      <c r="AH5" s="7">
        <f t="shared" si="5"/>
        <v>44651</v>
      </c>
      <c r="AI5" s="7">
        <f t="shared" si="5"/>
        <v>44742</v>
      </c>
      <c r="AJ5" s="7">
        <f t="shared" si="5"/>
        <v>44834</v>
      </c>
      <c r="AK5" s="7">
        <f t="shared" si="5"/>
        <v>44926</v>
      </c>
      <c r="AL5" s="7">
        <f t="shared" si="5"/>
        <v>45016</v>
      </c>
      <c r="AM5" s="7">
        <f t="shared" si="5"/>
        <v>45107</v>
      </c>
      <c r="AN5" s="7">
        <f t="shared" si="5"/>
        <v>45199</v>
      </c>
      <c r="AO5" s="7">
        <f t="shared" si="5"/>
        <v>45291</v>
      </c>
      <c r="AP5" s="7">
        <f t="shared" si="5"/>
        <v>45382</v>
      </c>
      <c r="AQ5" s="7">
        <f t="shared" si="5"/>
        <v>45473</v>
      </c>
      <c r="AR5" s="7">
        <f t="shared" si="5"/>
        <v>45565</v>
      </c>
      <c r="AS5" s="7">
        <f t="shared" si="5"/>
        <v>45657</v>
      </c>
      <c r="AT5" s="7">
        <f t="shared" si="5"/>
        <v>45747</v>
      </c>
      <c r="AU5" s="7">
        <f t="shared" si="5"/>
        <v>45838</v>
      </c>
      <c r="AV5" s="7">
        <f t="shared" si="5"/>
        <v>45930</v>
      </c>
      <c r="AW5" s="7">
        <f t="shared" si="5"/>
        <v>46022</v>
      </c>
      <c r="AX5" s="7">
        <f t="shared" si="5"/>
        <v>46112</v>
      </c>
      <c r="AY5" s="7">
        <f t="shared" si="5"/>
        <v>46203</v>
      </c>
      <c r="AZ5" s="7">
        <f t="shared" si="5"/>
        <v>46295</v>
      </c>
      <c r="BA5" s="7">
        <f t="shared" si="5"/>
        <v>46387</v>
      </c>
      <c r="BB5" s="8" t="s">
        <v>75</v>
      </c>
    </row>
    <row r="6" spans="1:57" outlineLevel="1" x14ac:dyDescent="0.2">
      <c r="A6" s="1" t="s">
        <v>0</v>
      </c>
      <c r="R6" s="1">
        <f>+YEAR(R5)</f>
        <v>2018</v>
      </c>
      <c r="S6" s="1">
        <f t="shared" ref="S6:BA6" si="6">+YEAR(S5)</f>
        <v>2018</v>
      </c>
      <c r="T6" s="1">
        <f t="shared" si="6"/>
        <v>2018</v>
      </c>
      <c r="U6" s="1">
        <f t="shared" si="6"/>
        <v>2018</v>
      </c>
      <c r="V6" s="1">
        <f t="shared" si="6"/>
        <v>2019</v>
      </c>
      <c r="W6" s="1">
        <f t="shared" si="6"/>
        <v>2019</v>
      </c>
      <c r="X6" s="1">
        <f t="shared" si="6"/>
        <v>2019</v>
      </c>
      <c r="Y6" s="1">
        <f t="shared" si="6"/>
        <v>2019</v>
      </c>
      <c r="Z6" s="1">
        <f t="shared" si="6"/>
        <v>2020</v>
      </c>
      <c r="AA6" s="1">
        <f t="shared" si="6"/>
        <v>2020</v>
      </c>
      <c r="AB6" s="1">
        <f t="shared" si="6"/>
        <v>2020</v>
      </c>
      <c r="AC6" s="1">
        <f t="shared" si="6"/>
        <v>2020</v>
      </c>
      <c r="AD6" s="1">
        <f t="shared" si="6"/>
        <v>2021</v>
      </c>
      <c r="AE6" s="1">
        <f t="shared" si="6"/>
        <v>2021</v>
      </c>
      <c r="AF6" s="1">
        <f t="shared" si="6"/>
        <v>2021</v>
      </c>
      <c r="AG6" s="1">
        <f t="shared" si="6"/>
        <v>2021</v>
      </c>
      <c r="AH6" s="1">
        <f t="shared" si="6"/>
        <v>2022</v>
      </c>
      <c r="AI6" s="1">
        <f t="shared" si="6"/>
        <v>2022</v>
      </c>
      <c r="AJ6" s="1">
        <f t="shared" si="6"/>
        <v>2022</v>
      </c>
      <c r="AK6" s="1">
        <f t="shared" si="6"/>
        <v>2022</v>
      </c>
      <c r="AL6" s="1">
        <f t="shared" si="6"/>
        <v>2023</v>
      </c>
      <c r="AM6" s="1">
        <f t="shared" si="6"/>
        <v>2023</v>
      </c>
      <c r="AN6" s="1">
        <f t="shared" si="6"/>
        <v>2023</v>
      </c>
      <c r="AO6" s="1">
        <f t="shared" si="6"/>
        <v>2023</v>
      </c>
      <c r="AP6" s="1">
        <f t="shared" si="6"/>
        <v>2024</v>
      </c>
      <c r="AQ6" s="1">
        <f t="shared" si="6"/>
        <v>2024</v>
      </c>
      <c r="AR6" s="1">
        <f t="shared" si="6"/>
        <v>2024</v>
      </c>
      <c r="AS6" s="1">
        <f t="shared" si="6"/>
        <v>2024</v>
      </c>
      <c r="AT6" s="1">
        <f t="shared" si="6"/>
        <v>2025</v>
      </c>
      <c r="AU6" s="1">
        <f t="shared" si="6"/>
        <v>2025</v>
      </c>
      <c r="AV6" s="1">
        <f t="shared" si="6"/>
        <v>2025</v>
      </c>
      <c r="AW6" s="1">
        <f t="shared" si="6"/>
        <v>2025</v>
      </c>
      <c r="AX6" s="1">
        <f t="shared" si="6"/>
        <v>2026</v>
      </c>
      <c r="AY6" s="1">
        <f t="shared" si="6"/>
        <v>2026</v>
      </c>
      <c r="AZ6" s="1">
        <f t="shared" si="6"/>
        <v>2026</v>
      </c>
      <c r="BA6" s="1">
        <f t="shared" si="6"/>
        <v>2026</v>
      </c>
      <c r="BB6" s="8" t="s">
        <v>75</v>
      </c>
    </row>
    <row r="7" spans="1:57" s="3" customFormat="1" x14ac:dyDescent="0.2">
      <c r="A7" s="17" t="s">
        <v>75</v>
      </c>
      <c r="B7" s="3" t="s">
        <v>182</v>
      </c>
      <c r="BB7" s="117" t="s">
        <v>75</v>
      </c>
    </row>
    <row r="8" spans="1:57" x14ac:dyDescent="0.2">
      <c r="B8" s="1" t="s">
        <v>183</v>
      </c>
      <c r="C8" s="45" t="s">
        <v>200</v>
      </c>
      <c r="E8" s="63"/>
      <c r="F8" s="63"/>
      <c r="G8" s="63"/>
      <c r="H8" s="63"/>
      <c r="I8" s="63"/>
      <c r="J8" s="63"/>
      <c r="R8" s="101">
        <f ca="1">+SUMIFS(FX!8:8,FX!$3:$3,'Costal Nav'!R$3)</f>
        <v>3.3062999999999998</v>
      </c>
      <c r="S8" s="101">
        <f ca="1">+SUMIFS(FX!8:8,FX!$3:$3,'Costal Nav'!S$3)</f>
        <v>3.8765000000000001</v>
      </c>
      <c r="T8" s="101">
        <f ca="1">+SUMIFS(FX!8:8,FX!$3:$3,'Costal Nav'!T$3)</f>
        <v>4.0492999999999997</v>
      </c>
      <c r="U8" s="101">
        <f ca="1">+SUMIFS(FX!8:8,FX!$3:$3,'Costal Nav'!U$3)</f>
        <v>3.8744999999999998</v>
      </c>
      <c r="V8" s="101">
        <f ca="1">+SUMIFS(FX!8:8,FX!$3:$3,'Costal Nav'!V$3)</f>
        <v>3.9205000000000001</v>
      </c>
      <c r="W8" s="101">
        <f ca="1">+SUMIFS(FX!8:8,FX!$3:$3,'Costal Nav'!W$3)</f>
        <v>3.8498999999999999</v>
      </c>
      <c r="X8" s="101">
        <f ca="1">+SUMIFS(FX!8:8,FX!$3:$3,'Costal Nav'!X$3)</f>
        <v>4.1562000000000001</v>
      </c>
      <c r="Y8" s="101">
        <f ca="1">+SUMIFS(FX!8:8,FX!$3:$3,'Costal Nav'!Y$3)</f>
        <v>4.0304000000000002</v>
      </c>
      <c r="Z8" s="101">
        <f ca="1">+SUMIFS(FX!8:8,FX!$3:$3,'Costal Nav'!Z$3)</f>
        <v>5.2058999999999997</v>
      </c>
      <c r="AA8" s="101">
        <f ca="1">+SUMIFS(FX!8:8,FX!$3:$3,'Costal Nav'!AA$3)</f>
        <v>5.4676</v>
      </c>
      <c r="AB8" s="101">
        <f ca="1">+SUMIFS(FX!8:8,FX!$3:$3,'Costal Nav'!AB$3)</f>
        <v>5.6094999999999997</v>
      </c>
      <c r="AC8" s="101">
        <f ca="1">+SUMIFS(FX!8:8,FX!$3:$3,'Costal Nav'!AC$3)</f>
        <v>5.1966999999999999</v>
      </c>
      <c r="AD8" s="101">
        <f ca="1">+SUMIFS(FX!8:8,FX!$3:$3,'Costal Nav'!AD$3)</f>
        <v>5.63</v>
      </c>
      <c r="AE8" s="101">
        <f ca="1">+SUMIFS(FX!8:8,FX!$3:$3,'Costal Nav'!AE$3)</f>
        <v>5.6580099502487569</v>
      </c>
      <c r="AF8" s="101">
        <f ca="1">+SUMIFS(FX!8:8,FX!$3:$3,'Costal Nav'!AF$3)</f>
        <v>5.6861592534838259</v>
      </c>
      <c r="AG8" s="101">
        <f ca="1">+SUMIFS(FX!8:8,FX!$3:$3,'Costal Nav'!AG$3)</f>
        <v>5.714448603003647</v>
      </c>
      <c r="AH8" s="101">
        <f ca="1">+SUMIFS(FX!8:8,FX!$3:$3,'Costal Nav'!AH$3)</f>
        <v>5.7428786955559046</v>
      </c>
      <c r="AI8" s="101">
        <f ca="1">+SUMIFS(FX!8:8,FX!$3:$3,'Costal Nav'!AI$3)</f>
        <v>5.7714502313546907</v>
      </c>
      <c r="AJ8" s="101">
        <f ca="1">+SUMIFS(FX!8:8,FX!$3:$3,'Costal Nav'!AJ$3)</f>
        <v>5.8001639140977499</v>
      </c>
      <c r="AK8" s="101">
        <f ca="1">+SUMIFS(FX!8:8,FX!$3:$3,'Costal Nav'!AK$3)</f>
        <v>5.8290204509838093</v>
      </c>
      <c r="AL8" s="101">
        <f ca="1">+SUMIFS(FX!8:8,FX!$3:$3,'Costal Nav'!AL$3)</f>
        <v>5.8580205527299976</v>
      </c>
      <c r="AM8" s="101">
        <f ca="1">+SUMIFS(FX!8:8,FX!$3:$3,'Costal Nav'!AM$3)</f>
        <v>5.8871649335893519</v>
      </c>
      <c r="AN8" s="101">
        <f ca="1">+SUMIFS(FX!8:8,FX!$3:$3,'Costal Nav'!AN$3)</f>
        <v>5.9164543113684038</v>
      </c>
      <c r="AO8" s="101">
        <f ca="1">+SUMIFS(FX!8:8,FX!$3:$3,'Costal Nav'!AO$3)</f>
        <v>5.9458894074448638</v>
      </c>
      <c r="AP8" s="101">
        <f ca="1">+SUMIFS(FX!8:8,FX!$3:$3,'Costal Nav'!AP$3)</f>
        <v>5.9754709467853857</v>
      </c>
      <c r="AQ8" s="101">
        <f ca="1">+SUMIFS(FX!8:8,FX!$3:$3,'Costal Nav'!AQ$3)</f>
        <v>6.0051996579634235</v>
      </c>
      <c r="AR8" s="101">
        <f ca="1">+SUMIFS(FX!8:8,FX!$3:$3,'Costal Nav'!AR$3)</f>
        <v>6.0350762731771725</v>
      </c>
      <c r="AS8" s="101">
        <f ca="1">+SUMIFS(FX!8:8,FX!$3:$3,'Costal Nav'!AS$3)</f>
        <v>6.0651015282676068</v>
      </c>
      <c r="AT8" s="101">
        <f ca="1">+SUMIFS(FX!8:8,FX!$3:$3,'Costal Nav'!AT$3)</f>
        <v>6.0952761627366012</v>
      </c>
      <c r="AU8" s="101">
        <f ca="1">+SUMIFS(FX!8:8,FX!$3:$3,'Costal Nav'!AU$3)</f>
        <v>6.1256009197651418</v>
      </c>
      <c r="AV8" s="101">
        <f ca="1">+SUMIFS(FX!8:8,FX!$3:$3,'Costal Nav'!AV$3)</f>
        <v>6.1560765462316356</v>
      </c>
      <c r="AW8" s="101">
        <f ca="1">+SUMIFS(FX!8:8,FX!$3:$3,'Costal Nav'!AW$3)</f>
        <v>6.1867037927303015</v>
      </c>
      <c r="AX8" s="101">
        <f ca="1">+SUMIFS(FX!8:8,FX!$3:$3,'Costal Nav'!AX$3)</f>
        <v>6.2174834135896573</v>
      </c>
      <c r="AY8" s="101">
        <f ca="1">+SUMIFS(FX!8:8,FX!$3:$3,'Costal Nav'!AY$3)</f>
        <v>6.2484161668910998</v>
      </c>
      <c r="AZ8" s="101">
        <f ca="1">+SUMIFS(FX!8:8,FX!$3:$3,'Costal Nav'!AZ$3)</f>
        <v>6.2795028144875733</v>
      </c>
      <c r="BA8" s="101">
        <f ca="1">+SUMIFS(FX!8:8,FX!$3:$3,'Costal Nav'!BA$3)</f>
        <v>6.3107441220223386</v>
      </c>
      <c r="BB8" s="8" t="s">
        <v>75</v>
      </c>
    </row>
    <row r="9" spans="1:57" x14ac:dyDescent="0.2">
      <c r="B9" s="1" t="s">
        <v>197</v>
      </c>
      <c r="C9" s="45" t="s">
        <v>200</v>
      </c>
      <c r="E9" s="63"/>
      <c r="F9" s="63"/>
      <c r="G9" s="63"/>
      <c r="H9" s="63"/>
      <c r="I9" s="63"/>
      <c r="J9" s="63"/>
      <c r="R9" s="101">
        <f ca="1">+SUMIFS(FX!11:11,FX!$3:$3,'Costal Nav'!R$3)</f>
        <v>3.2670911764705881</v>
      </c>
      <c r="S9" s="101">
        <f ca="1">+SUMIFS(FX!11:11,FX!$3:$3,'Costal Nav'!S$3)</f>
        <v>3.6087936507936504</v>
      </c>
      <c r="T9" s="101">
        <f ca="1">+SUMIFS(FX!11:11,FX!$3:$3,'Costal Nav'!T$3)</f>
        <v>3.9478421874999987</v>
      </c>
      <c r="U9" s="101">
        <f ca="1">+SUMIFS(FX!11:11,FX!$3:$3,'Costal Nav'!U$3)</f>
        <v>3.8125758064516133</v>
      </c>
      <c r="V9" s="101">
        <f ca="1">+SUMIFS(FX!11:11,FX!$3:$3,'Costal Nav'!V$3)</f>
        <v>3.7655786885245899</v>
      </c>
      <c r="W9" s="101">
        <f ca="1">+SUMIFS(FX!11:11,FX!$3:$3,'Costal Nav'!W$3)</f>
        <v>3.9215532258064503</v>
      </c>
      <c r="X9" s="101">
        <f ca="1">+SUMIFS(FX!11:11,FX!$3:$3,'Costal Nav'!X$3)</f>
        <v>3.9722803030303022</v>
      </c>
      <c r="Y9" s="101">
        <f ca="1">+SUMIFS(FX!11:11,FX!$3:$3,'Costal Nav'!Y$3)</f>
        <v>4.1161359375000002</v>
      </c>
      <c r="Z9" s="101">
        <f ca="1">+SUMIFS(FX!11:11,FX!$3:$3,'Costal Nav'!Z$3)</f>
        <v>4.4725483870967748</v>
      </c>
      <c r="AA9" s="101">
        <f ca="1">+SUMIFS(FX!11:11,FX!$3:$3,'Costal Nav'!AA$3)</f>
        <v>5.3856540983606553</v>
      </c>
      <c r="AB9" s="101">
        <f ca="1">+SUMIFS(FX!11:11,FX!$3:$3,'Costal Nav'!AB$3)</f>
        <v>5.380169230769229</v>
      </c>
      <c r="AC9" s="101">
        <f ca="1">+SUMIFS(FX!11:11,FX!$3:$3,'Costal Nav'!AC$3)</f>
        <v>5.3950349206349211</v>
      </c>
      <c r="AD9" s="101">
        <f ca="1">+SUMIFS(FX!11:11,FX!$3:$3,'Costal Nav'!AD$3)</f>
        <v>5.3901184210526321</v>
      </c>
      <c r="AE9" s="101">
        <f ca="1">+SUMIFS(FX!11:11,FX!$3:$3,'Costal Nav'!AE$3)</f>
        <v>5.6440049751243784</v>
      </c>
      <c r="AF9" s="101">
        <f ca="1">+SUMIFS(FX!11:11,FX!$3:$3,'Costal Nav'!AF$3)</f>
        <v>5.6720846018662918</v>
      </c>
      <c r="AG9" s="101">
        <f ca="1">+SUMIFS(FX!11:11,FX!$3:$3,'Costal Nav'!AG$3)</f>
        <v>5.700303928243736</v>
      </c>
      <c r="AH9" s="101">
        <f ca="1">+SUMIFS(FX!11:11,FX!$3:$3,'Costal Nav'!AH$3)</f>
        <v>5.7286636492797758</v>
      </c>
      <c r="AI9" s="101">
        <f ca="1">+SUMIFS(FX!11:11,FX!$3:$3,'Costal Nav'!AI$3)</f>
        <v>5.7571644634552976</v>
      </c>
      <c r="AJ9" s="101">
        <f ca="1">+SUMIFS(FX!11:11,FX!$3:$3,'Costal Nav'!AJ$3)</f>
        <v>5.7858070727262199</v>
      </c>
      <c r="AK9" s="101">
        <f ca="1">+SUMIFS(FX!11:11,FX!$3:$3,'Costal Nav'!AK$3)</f>
        <v>5.81459218254078</v>
      </c>
      <c r="AL9" s="101">
        <f ca="1">+SUMIFS(FX!11:11,FX!$3:$3,'Costal Nav'!AL$3)</f>
        <v>5.8435205018569034</v>
      </c>
      <c r="AM9" s="101">
        <f ca="1">+SUMIFS(FX!11:11,FX!$3:$3,'Costal Nav'!AM$3)</f>
        <v>5.8725927431596752</v>
      </c>
      <c r="AN9" s="101">
        <f ca="1">+SUMIFS(FX!11:11,FX!$3:$3,'Costal Nav'!AN$3)</f>
        <v>5.9018096224788774</v>
      </c>
      <c r="AO9" s="101">
        <f ca="1">+SUMIFS(FX!11:11,FX!$3:$3,'Costal Nav'!AO$3)</f>
        <v>5.9311718594066338</v>
      </c>
      <c r="AP9" s="101">
        <f ca="1">+SUMIFS(FX!11:11,FX!$3:$3,'Costal Nav'!AP$3)</f>
        <v>5.9606801771151243</v>
      </c>
      <c r="AQ9" s="101">
        <f ca="1">+SUMIFS(FX!11:11,FX!$3:$3,'Costal Nav'!AQ$3)</f>
        <v>5.9903353023744046</v>
      </c>
      <c r="AR9" s="101">
        <f ca="1">+SUMIFS(FX!11:11,FX!$3:$3,'Costal Nav'!AR$3)</f>
        <v>6.0201379655702976</v>
      </c>
      <c r="AS9" s="101">
        <f ca="1">+SUMIFS(FX!11:11,FX!$3:$3,'Costal Nav'!AS$3)</f>
        <v>6.0500889007223897</v>
      </c>
      <c r="AT9" s="101">
        <f ca="1">+SUMIFS(FX!11:11,FX!$3:$3,'Costal Nav'!AT$3)</f>
        <v>6.0801888455021036</v>
      </c>
      <c r="AU9" s="101">
        <f ca="1">+SUMIFS(FX!11:11,FX!$3:$3,'Costal Nav'!AU$3)</f>
        <v>6.1104385412508719</v>
      </c>
      <c r="AV9" s="101">
        <f ca="1">+SUMIFS(FX!11:11,FX!$3:$3,'Costal Nav'!AV$3)</f>
        <v>6.1408387329983887</v>
      </c>
      <c r="AW9" s="101">
        <f ca="1">+SUMIFS(FX!11:11,FX!$3:$3,'Costal Nav'!AW$3)</f>
        <v>6.1713901694809685</v>
      </c>
      <c r="AX9" s="101">
        <f ca="1">+SUMIFS(FX!11:11,FX!$3:$3,'Costal Nav'!AX$3)</f>
        <v>6.2020936031599794</v>
      </c>
      <c r="AY9" s="101">
        <f ca="1">+SUMIFS(FX!11:11,FX!$3:$3,'Costal Nav'!AY$3)</f>
        <v>6.2329497902403785</v>
      </c>
      <c r="AZ9" s="101">
        <f ca="1">+SUMIFS(FX!11:11,FX!$3:$3,'Costal Nav'!AZ$3)</f>
        <v>6.2639594906893361</v>
      </c>
      <c r="BA9" s="101">
        <f ca="1">+SUMIFS(FX!11:11,FX!$3:$3,'Costal Nav'!BA$3)</f>
        <v>6.2951234682549559</v>
      </c>
      <c r="BB9" s="8" t="s">
        <v>75</v>
      </c>
    </row>
    <row r="10" spans="1:57" x14ac:dyDescent="0.2">
      <c r="E10" s="67"/>
      <c r="F10" s="67"/>
      <c r="G10" s="67"/>
      <c r="H10" s="67"/>
      <c r="I10" s="67"/>
      <c r="BB10" s="8" t="s">
        <v>75</v>
      </c>
    </row>
    <row r="11" spans="1:57" s="3" customFormat="1" x14ac:dyDescent="0.2">
      <c r="A11" s="17" t="s">
        <v>75</v>
      </c>
      <c r="B11" s="3" t="s">
        <v>233</v>
      </c>
      <c r="BB11" s="117" t="s">
        <v>75</v>
      </c>
    </row>
    <row r="12" spans="1:57" s="118" customFormat="1" x14ac:dyDescent="0.2">
      <c r="B12" s="118" t="s">
        <v>234</v>
      </c>
      <c r="C12" s="119" t="s">
        <v>177</v>
      </c>
      <c r="E12" s="120"/>
      <c r="F12" s="120"/>
      <c r="G12" s="120"/>
      <c r="H12" s="120"/>
      <c r="I12" s="120"/>
      <c r="J12" s="120"/>
      <c r="R12" s="120"/>
      <c r="S12" s="120"/>
      <c r="T12" s="120"/>
      <c r="U12" s="121"/>
      <c r="V12" s="121">
        <f t="shared" ref="V12:AB12" ca="1" si="7">+V48/SUMIFS(48:48,6:6,V6)</f>
        <v>0.18682615288469534</v>
      </c>
      <c r="W12" s="121">
        <f t="shared" ca="1" si="7"/>
        <v>0.20856237857472892</v>
      </c>
      <c r="X12" s="121">
        <f t="shared" ca="1" si="7"/>
        <v>0.19023756068428985</v>
      </c>
      <c r="Y12" s="121">
        <f t="shared" ca="1" si="7"/>
        <v>0.41437390785628597</v>
      </c>
      <c r="Z12" s="121">
        <f t="shared" ca="1" si="7"/>
        <v>0.24613078545683259</v>
      </c>
      <c r="AA12" s="121">
        <f t="shared" ca="1" si="7"/>
        <v>0.21855855792604126</v>
      </c>
      <c r="AB12" s="121">
        <f t="shared" ca="1" si="7"/>
        <v>0.25810732549677484</v>
      </c>
      <c r="AC12" s="121">
        <f ca="1">+AC48/SUMIFS(48:48,6:6,AC6)</f>
        <v>0.27720333112035145</v>
      </c>
      <c r="AD12" s="130">
        <v>0.25</v>
      </c>
      <c r="AE12" s="130">
        <v>0.25</v>
      </c>
      <c r="AF12" s="130">
        <v>0.25</v>
      </c>
      <c r="AG12" s="130">
        <v>0.25</v>
      </c>
      <c r="AH12" s="123">
        <f>+AD12</f>
        <v>0.25</v>
      </c>
      <c r="AI12" s="123">
        <f t="shared" ref="AI12:BA12" si="8">+AE12</f>
        <v>0.25</v>
      </c>
      <c r="AJ12" s="123">
        <f t="shared" si="8"/>
        <v>0.25</v>
      </c>
      <c r="AK12" s="123">
        <f t="shared" si="8"/>
        <v>0.25</v>
      </c>
      <c r="AL12" s="123">
        <f t="shared" si="8"/>
        <v>0.25</v>
      </c>
      <c r="AM12" s="123">
        <f t="shared" si="8"/>
        <v>0.25</v>
      </c>
      <c r="AN12" s="123">
        <f t="shared" si="8"/>
        <v>0.25</v>
      </c>
      <c r="AO12" s="123">
        <f t="shared" si="8"/>
        <v>0.25</v>
      </c>
      <c r="AP12" s="123">
        <f t="shared" si="8"/>
        <v>0.25</v>
      </c>
      <c r="AQ12" s="123">
        <f t="shared" si="8"/>
        <v>0.25</v>
      </c>
      <c r="AR12" s="123">
        <f t="shared" si="8"/>
        <v>0.25</v>
      </c>
      <c r="AS12" s="123">
        <f t="shared" si="8"/>
        <v>0.25</v>
      </c>
      <c r="AT12" s="123">
        <f t="shared" si="8"/>
        <v>0.25</v>
      </c>
      <c r="AU12" s="123">
        <f t="shared" si="8"/>
        <v>0.25</v>
      </c>
      <c r="AV12" s="123">
        <f t="shared" si="8"/>
        <v>0.25</v>
      </c>
      <c r="AW12" s="123">
        <f t="shared" si="8"/>
        <v>0.25</v>
      </c>
      <c r="AX12" s="123">
        <f t="shared" si="8"/>
        <v>0.25</v>
      </c>
      <c r="AY12" s="123">
        <f t="shared" si="8"/>
        <v>0.25</v>
      </c>
      <c r="AZ12" s="123">
        <f t="shared" si="8"/>
        <v>0.25</v>
      </c>
      <c r="BA12" s="123">
        <f t="shared" si="8"/>
        <v>0.25</v>
      </c>
      <c r="BB12" s="124" t="s">
        <v>75</v>
      </c>
    </row>
    <row r="13" spans="1:57" x14ac:dyDescent="0.2">
      <c r="E13" s="67"/>
      <c r="F13" s="67"/>
      <c r="G13" s="67"/>
      <c r="H13" s="67"/>
      <c r="I13" s="67"/>
      <c r="BB13" s="8" t="s">
        <v>75</v>
      </c>
    </row>
    <row r="14" spans="1:57" s="3" customFormat="1" x14ac:dyDescent="0.2">
      <c r="A14" s="17" t="s">
        <v>75</v>
      </c>
      <c r="B14" s="3" t="s">
        <v>8</v>
      </c>
      <c r="BB14" s="117" t="s">
        <v>75</v>
      </c>
    </row>
    <row r="15" spans="1:57" s="35" customFormat="1" x14ac:dyDescent="0.2">
      <c r="A15" s="17" t="s">
        <v>75</v>
      </c>
      <c r="B15" s="36" t="s">
        <v>5</v>
      </c>
      <c r="C15" s="36"/>
      <c r="D15" s="36"/>
      <c r="E15" s="36"/>
      <c r="F15" s="36"/>
      <c r="G15" s="36"/>
      <c r="H15" s="37"/>
      <c r="I15" s="37"/>
      <c r="J15" s="37"/>
      <c r="K15" s="37"/>
      <c r="L15" s="37"/>
      <c r="M15" s="37"/>
      <c r="N15" s="37"/>
      <c r="O15" s="37"/>
      <c r="P15" s="37"/>
      <c r="Q15" s="37"/>
      <c r="U15" s="37"/>
      <c r="V15" s="37"/>
      <c r="W15" s="37"/>
      <c r="X15" s="37"/>
      <c r="Y15" s="44"/>
      <c r="Z15" s="44"/>
      <c r="AA15" s="44"/>
      <c r="AB15" s="44"/>
      <c r="AC15" s="44"/>
      <c r="AD15" s="44"/>
      <c r="AE15" s="44"/>
      <c r="AF15" s="44"/>
      <c r="BB15" s="90" t="s">
        <v>75</v>
      </c>
      <c r="BE15" s="90"/>
    </row>
    <row r="16" spans="1:57" s="2" customFormat="1" x14ac:dyDescent="0.2">
      <c r="B16" s="34" t="s">
        <v>17</v>
      </c>
      <c r="C16" s="45" t="s">
        <v>201</v>
      </c>
      <c r="D16" s="34"/>
      <c r="E16" s="11"/>
      <c r="F16" s="11"/>
      <c r="G16" s="13">
        <f t="shared" ref="G16:N18" si="9">+SUMIFS(16:16,$6:$6,G$3)</f>
        <v>3672.8781899999994</v>
      </c>
      <c r="H16" s="13">
        <f t="shared" si="9"/>
        <v>3358.49757</v>
      </c>
      <c r="I16" s="13">
        <f t="shared" ca="1" si="9"/>
        <v>3425.6675213999997</v>
      </c>
      <c r="J16" s="13">
        <f t="shared" ca="1" si="9"/>
        <v>3494.1808718279999</v>
      </c>
      <c r="K16" s="13">
        <f t="shared" ca="1" si="9"/>
        <v>3564.0644892645601</v>
      </c>
      <c r="L16" s="13">
        <f t="shared" ca="1" si="9"/>
        <v>3635.3457790498514</v>
      </c>
      <c r="M16" s="13">
        <f t="shared" ca="1" si="9"/>
        <v>3708.0526946308482</v>
      </c>
      <c r="N16" s="13">
        <f t="shared" ca="1" si="9"/>
        <v>3782.2137485234653</v>
      </c>
      <c r="P16" s="97">
        <f ca="1">+(N16/I16)^(1/5)-1</f>
        <v>2.0000000000000018E-2</v>
      </c>
      <c r="R16" s="24">
        <f t="shared" ref="R16:AC16" si="10">+SUM(R17:R18)</f>
        <v>854.26400000000001</v>
      </c>
      <c r="S16" s="24">
        <f t="shared" si="10"/>
        <v>467.31200000000001</v>
      </c>
      <c r="T16" s="24">
        <f t="shared" si="10"/>
        <v>779.32299999999998</v>
      </c>
      <c r="U16" s="24">
        <f t="shared" si="10"/>
        <v>735.47399999999993</v>
      </c>
      <c r="V16" s="24">
        <f t="shared" si="10"/>
        <v>681.69042000000013</v>
      </c>
      <c r="W16" s="24">
        <f t="shared" si="10"/>
        <v>820.16552999999999</v>
      </c>
      <c r="X16" s="24">
        <f t="shared" si="10"/>
        <v>972.25004999999987</v>
      </c>
      <c r="Y16" s="24">
        <f t="shared" si="10"/>
        <v>1198.7721899999999</v>
      </c>
      <c r="Z16" s="24">
        <f t="shared" si="10"/>
        <v>1040.6108299999999</v>
      </c>
      <c r="AA16" s="24">
        <f t="shared" si="10"/>
        <v>817.57574</v>
      </c>
      <c r="AB16" s="24">
        <f t="shared" si="10"/>
        <v>1039.6507000000001</v>
      </c>
      <c r="AC16" s="24">
        <f t="shared" si="10"/>
        <v>460.66030000000001</v>
      </c>
      <c r="AD16" s="114">
        <f ca="1">+Z16*(1+AD21)</f>
        <v>1061.4230465999999</v>
      </c>
      <c r="AE16" s="24">
        <f t="shared" ref="AE16:BA16" ca="1" si="11">+AA16*(1+AE21)</f>
        <v>833.92725480000001</v>
      </c>
      <c r="AF16" s="24">
        <f t="shared" ca="1" si="11"/>
        <v>1060.4437140000002</v>
      </c>
      <c r="AG16" s="24">
        <f t="shared" ca="1" si="11"/>
        <v>469.87350600000002</v>
      </c>
      <c r="AH16" s="24">
        <f t="shared" ca="1" si="11"/>
        <v>1082.6515075319999</v>
      </c>
      <c r="AI16" s="24">
        <f t="shared" ca="1" si="11"/>
        <v>850.60579989600001</v>
      </c>
      <c r="AJ16" s="24">
        <f t="shared" ca="1" si="11"/>
        <v>1081.6525882800001</v>
      </c>
      <c r="AK16" s="24">
        <f t="shared" ca="1" si="11"/>
        <v>479.27097612000006</v>
      </c>
      <c r="AL16" s="24">
        <f t="shared" ca="1" si="11"/>
        <v>1104.3045376826399</v>
      </c>
      <c r="AM16" s="24">
        <f t="shared" ca="1" si="11"/>
        <v>867.61791589391999</v>
      </c>
      <c r="AN16" s="24">
        <f t="shared" ca="1" si="11"/>
        <v>1103.2856400456001</v>
      </c>
      <c r="AO16" s="24">
        <f t="shared" ca="1" si="11"/>
        <v>488.85639564240006</v>
      </c>
      <c r="AP16" s="24">
        <f t="shared" ca="1" si="11"/>
        <v>1126.3906284362927</v>
      </c>
      <c r="AQ16" s="24">
        <f t="shared" ca="1" si="11"/>
        <v>884.97027421179837</v>
      </c>
      <c r="AR16" s="24">
        <f t="shared" ca="1" si="11"/>
        <v>1125.3513528465121</v>
      </c>
      <c r="AS16" s="24">
        <f t="shared" ca="1" si="11"/>
        <v>498.63352355524808</v>
      </c>
      <c r="AT16" s="24">
        <f t="shared" ca="1" si="11"/>
        <v>1148.9184410050186</v>
      </c>
      <c r="AU16" s="24">
        <f t="shared" ca="1" si="11"/>
        <v>902.66967969603434</v>
      </c>
      <c r="AV16" s="24">
        <f t="shared" ca="1" si="11"/>
        <v>1147.8583799034423</v>
      </c>
      <c r="AW16" s="24">
        <f t="shared" ca="1" si="11"/>
        <v>508.60619402635302</v>
      </c>
      <c r="AX16" s="24">
        <f t="shared" ca="1" si="11"/>
        <v>1171.8968098251189</v>
      </c>
      <c r="AY16" s="24">
        <f t="shared" ca="1" si="11"/>
        <v>920.7230732899551</v>
      </c>
      <c r="AZ16" s="24">
        <f t="shared" ca="1" si="11"/>
        <v>1170.8155475015112</v>
      </c>
      <c r="BA16" s="24">
        <f t="shared" ca="1" si="11"/>
        <v>518.77831790688015</v>
      </c>
      <c r="BB16" s="8" t="s">
        <v>75</v>
      </c>
    </row>
    <row r="17" spans="1:57" x14ac:dyDescent="0.2">
      <c r="B17" s="19" t="s">
        <v>15</v>
      </c>
      <c r="C17" s="45" t="s">
        <v>201</v>
      </c>
      <c r="D17" s="19"/>
      <c r="E17" s="11"/>
      <c r="F17" s="11"/>
      <c r="G17" s="11">
        <f t="shared" si="9"/>
        <v>3200.4921899999999</v>
      </c>
      <c r="H17" s="11">
        <f t="shared" si="9"/>
        <v>3358.49757</v>
      </c>
      <c r="I17" s="11">
        <f t="shared" ca="1" si="9"/>
        <v>3425.6675213999997</v>
      </c>
      <c r="J17" s="11">
        <f t="shared" ca="1" si="9"/>
        <v>3494.1808718279999</v>
      </c>
      <c r="K17" s="11">
        <f t="shared" ca="1" si="9"/>
        <v>3564.0644892645601</v>
      </c>
      <c r="L17" s="11">
        <f t="shared" ca="1" si="9"/>
        <v>3635.3457790498514</v>
      </c>
      <c r="M17" s="11">
        <f t="shared" ca="1" si="9"/>
        <v>3708.0526946308482</v>
      </c>
      <c r="N17" s="11">
        <f t="shared" ca="1" si="9"/>
        <v>3782.2137485234653</v>
      </c>
      <c r="P17" s="97">
        <f ca="1">+(N17/I17)^(1/5)-1</f>
        <v>2.0000000000000018E-2</v>
      </c>
      <c r="R17" s="12">
        <v>614.91200000000003</v>
      </c>
      <c r="S17" s="12">
        <v>446.10599999999999</v>
      </c>
      <c r="T17" s="12">
        <v>743.71299999999997</v>
      </c>
      <c r="U17" s="12">
        <v>572.46199999999999</v>
      </c>
      <c r="V17" s="12">
        <v>521.1774200000001</v>
      </c>
      <c r="W17" s="12">
        <v>744.81452999999999</v>
      </c>
      <c r="X17" s="12">
        <v>892.9700499999999</v>
      </c>
      <c r="Y17" s="12">
        <v>1041.5301899999999</v>
      </c>
      <c r="Z17" s="12">
        <v>1040.6108299999999</v>
      </c>
      <c r="AA17" s="12">
        <v>817.57574</v>
      </c>
      <c r="AB17" s="12">
        <v>1039.6507000000001</v>
      </c>
      <c r="AC17" s="12">
        <v>460.66030000000001</v>
      </c>
      <c r="AD17" s="23">
        <f ca="1">+Z17*(AD$16/Z$16)</f>
        <v>1061.4230465999999</v>
      </c>
      <c r="AE17" s="23">
        <f t="shared" ref="AE17:BA17" ca="1" si="12">+AA17*(AE$16/AA$16)</f>
        <v>833.92725480000001</v>
      </c>
      <c r="AF17" s="23">
        <f t="shared" ca="1" si="12"/>
        <v>1060.4437140000002</v>
      </c>
      <c r="AG17" s="23">
        <f t="shared" ca="1" si="12"/>
        <v>469.87350600000002</v>
      </c>
      <c r="AH17" s="23">
        <f t="shared" ca="1" si="12"/>
        <v>1082.6515075319999</v>
      </c>
      <c r="AI17" s="23">
        <f t="shared" ca="1" si="12"/>
        <v>850.60579989600001</v>
      </c>
      <c r="AJ17" s="23">
        <f t="shared" ca="1" si="12"/>
        <v>1081.6525882800001</v>
      </c>
      <c r="AK17" s="23">
        <f t="shared" ca="1" si="12"/>
        <v>479.27097612000006</v>
      </c>
      <c r="AL17" s="23">
        <f t="shared" ca="1" si="12"/>
        <v>1104.3045376826399</v>
      </c>
      <c r="AM17" s="23">
        <f t="shared" ca="1" si="12"/>
        <v>867.61791589391999</v>
      </c>
      <c r="AN17" s="23">
        <f t="shared" ca="1" si="12"/>
        <v>1103.2856400456001</v>
      </c>
      <c r="AO17" s="23">
        <f t="shared" ca="1" si="12"/>
        <v>488.85639564240006</v>
      </c>
      <c r="AP17" s="23">
        <f t="shared" ca="1" si="12"/>
        <v>1126.3906284362927</v>
      </c>
      <c r="AQ17" s="23">
        <f t="shared" ca="1" si="12"/>
        <v>884.97027421179837</v>
      </c>
      <c r="AR17" s="23">
        <f t="shared" ca="1" si="12"/>
        <v>1125.3513528465121</v>
      </c>
      <c r="AS17" s="23">
        <f t="shared" ca="1" si="12"/>
        <v>498.63352355524808</v>
      </c>
      <c r="AT17" s="23">
        <f t="shared" ca="1" si="12"/>
        <v>1148.9184410050186</v>
      </c>
      <c r="AU17" s="23">
        <f t="shared" ca="1" si="12"/>
        <v>902.66967969603434</v>
      </c>
      <c r="AV17" s="23">
        <f t="shared" ca="1" si="12"/>
        <v>1147.8583799034423</v>
      </c>
      <c r="AW17" s="23">
        <f t="shared" ca="1" si="12"/>
        <v>508.60619402635302</v>
      </c>
      <c r="AX17" s="23">
        <f t="shared" ca="1" si="12"/>
        <v>1171.8968098251189</v>
      </c>
      <c r="AY17" s="23">
        <f t="shared" ca="1" si="12"/>
        <v>920.7230732899551</v>
      </c>
      <c r="AZ17" s="23">
        <f t="shared" ca="1" si="12"/>
        <v>1170.8155475015112</v>
      </c>
      <c r="BA17" s="23">
        <f t="shared" ca="1" si="12"/>
        <v>518.77831790688015</v>
      </c>
      <c r="BB17" s="8" t="s">
        <v>75</v>
      </c>
    </row>
    <row r="18" spans="1:57" x14ac:dyDescent="0.2">
      <c r="B18" s="19" t="s">
        <v>14</v>
      </c>
      <c r="C18" s="45" t="s">
        <v>201</v>
      </c>
      <c r="D18" s="19"/>
      <c r="E18" s="11"/>
      <c r="F18" s="11"/>
      <c r="G18" s="11">
        <f t="shared" si="9"/>
        <v>472.38599999999997</v>
      </c>
      <c r="H18" s="11">
        <f t="shared" si="9"/>
        <v>0</v>
      </c>
      <c r="I18" s="11">
        <f t="shared" ca="1" si="9"/>
        <v>0</v>
      </c>
      <c r="J18" s="11">
        <f t="shared" ca="1" si="9"/>
        <v>0</v>
      </c>
      <c r="K18" s="11">
        <f t="shared" ca="1" si="9"/>
        <v>0</v>
      </c>
      <c r="L18" s="11">
        <f t="shared" ca="1" si="9"/>
        <v>0</v>
      </c>
      <c r="M18" s="11">
        <f t="shared" ca="1" si="9"/>
        <v>0</v>
      </c>
      <c r="N18" s="11">
        <f t="shared" ca="1" si="9"/>
        <v>0</v>
      </c>
      <c r="P18" s="97"/>
      <c r="R18" s="12">
        <v>239.352</v>
      </c>
      <c r="S18" s="12">
        <v>21.206</v>
      </c>
      <c r="T18" s="12">
        <v>35.61</v>
      </c>
      <c r="U18" s="12">
        <v>163.012</v>
      </c>
      <c r="V18" s="12">
        <v>160.51300000000001</v>
      </c>
      <c r="W18" s="12">
        <v>75.350999999999999</v>
      </c>
      <c r="X18" s="12">
        <v>79.28</v>
      </c>
      <c r="Y18" s="12">
        <v>157.24199999999999</v>
      </c>
      <c r="Z18" s="12">
        <v>0</v>
      </c>
      <c r="AA18" s="12">
        <v>0</v>
      </c>
      <c r="AB18" s="12">
        <v>0</v>
      </c>
      <c r="AC18" s="12">
        <v>0</v>
      </c>
      <c r="AD18" s="23">
        <f ca="1">+Z18*(AD$16/Z$16)</f>
        <v>0</v>
      </c>
      <c r="AE18" s="23">
        <f t="shared" ref="AE18:BA18" ca="1" si="13">+AA18*(AE$16/AA$16)</f>
        <v>0</v>
      </c>
      <c r="AF18" s="23">
        <f t="shared" ca="1" si="13"/>
        <v>0</v>
      </c>
      <c r="AG18" s="23">
        <f t="shared" ca="1" si="13"/>
        <v>0</v>
      </c>
      <c r="AH18" s="23">
        <f t="shared" ca="1" si="13"/>
        <v>0</v>
      </c>
      <c r="AI18" s="23">
        <f t="shared" ca="1" si="13"/>
        <v>0</v>
      </c>
      <c r="AJ18" s="23">
        <f t="shared" ca="1" si="13"/>
        <v>0</v>
      </c>
      <c r="AK18" s="23">
        <f t="shared" ca="1" si="13"/>
        <v>0</v>
      </c>
      <c r="AL18" s="23">
        <f t="shared" ca="1" si="13"/>
        <v>0</v>
      </c>
      <c r="AM18" s="23">
        <f t="shared" ca="1" si="13"/>
        <v>0</v>
      </c>
      <c r="AN18" s="23">
        <f t="shared" ca="1" si="13"/>
        <v>0</v>
      </c>
      <c r="AO18" s="23">
        <f t="shared" ca="1" si="13"/>
        <v>0</v>
      </c>
      <c r="AP18" s="23">
        <f t="shared" ca="1" si="13"/>
        <v>0</v>
      </c>
      <c r="AQ18" s="23">
        <f t="shared" ca="1" si="13"/>
        <v>0</v>
      </c>
      <c r="AR18" s="23">
        <f t="shared" ca="1" si="13"/>
        <v>0</v>
      </c>
      <c r="AS18" s="23">
        <f t="shared" ca="1" si="13"/>
        <v>0</v>
      </c>
      <c r="AT18" s="23">
        <f t="shared" ca="1" si="13"/>
        <v>0</v>
      </c>
      <c r="AU18" s="23">
        <f t="shared" ca="1" si="13"/>
        <v>0</v>
      </c>
      <c r="AV18" s="23">
        <f t="shared" ca="1" si="13"/>
        <v>0</v>
      </c>
      <c r="AW18" s="23">
        <f t="shared" ca="1" si="13"/>
        <v>0</v>
      </c>
      <c r="AX18" s="23">
        <f t="shared" ca="1" si="13"/>
        <v>0</v>
      </c>
      <c r="AY18" s="23">
        <f t="shared" ca="1" si="13"/>
        <v>0</v>
      </c>
      <c r="AZ18" s="23">
        <f t="shared" ca="1" si="13"/>
        <v>0</v>
      </c>
      <c r="BA18" s="23">
        <f t="shared" ca="1" si="13"/>
        <v>0</v>
      </c>
      <c r="BB18" s="8" t="s">
        <v>75</v>
      </c>
    </row>
    <row r="19" spans="1:57" x14ac:dyDescent="0.2">
      <c r="B19" s="19"/>
      <c r="C19" s="19"/>
      <c r="D19" s="19"/>
      <c r="E19" s="11"/>
      <c r="F19" s="11"/>
      <c r="G19" s="11"/>
      <c r="H19" s="11"/>
      <c r="I19" s="11"/>
      <c r="J19" s="11"/>
      <c r="K19" s="11"/>
      <c r="L19" s="11"/>
      <c r="M19" s="11"/>
      <c r="N19" s="11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BB19" s="8" t="s">
        <v>75</v>
      </c>
    </row>
    <row r="20" spans="1:57" x14ac:dyDescent="0.2">
      <c r="B20" s="19"/>
      <c r="C20" s="19"/>
      <c r="D20" s="19"/>
      <c r="E20" s="11"/>
      <c r="F20" s="11"/>
      <c r="G20" s="27"/>
      <c r="H20" s="11"/>
      <c r="I20" s="11"/>
      <c r="J20" s="11"/>
      <c r="K20" s="11"/>
      <c r="L20" s="11"/>
      <c r="M20" s="11"/>
      <c r="N20" s="11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BB20" s="8" t="s">
        <v>75</v>
      </c>
    </row>
    <row r="21" spans="1:57" s="25" customFormat="1" x14ac:dyDescent="0.2">
      <c r="B21" s="33" t="s">
        <v>202</v>
      </c>
      <c r="C21" s="45" t="s">
        <v>177</v>
      </c>
      <c r="D21" s="33"/>
      <c r="E21" s="11"/>
      <c r="F21" s="11"/>
      <c r="G21" s="27"/>
      <c r="H21" s="30">
        <f t="shared" ref="H21:N21" si="14">+H16/G16-1</f>
        <v>-8.5595166443567683E-2</v>
      </c>
      <c r="I21" s="30">
        <f t="shared" ca="1" si="14"/>
        <v>2.0000000000000018E-2</v>
      </c>
      <c r="J21" s="30">
        <f t="shared" ca="1" si="14"/>
        <v>2.0000000000000018E-2</v>
      </c>
      <c r="K21" s="30">
        <f t="shared" ca="1" si="14"/>
        <v>2.0000000000000018E-2</v>
      </c>
      <c r="L21" s="30">
        <f t="shared" ca="1" si="14"/>
        <v>2.0000000000000018E-2</v>
      </c>
      <c r="M21" s="30">
        <f t="shared" ca="1" si="14"/>
        <v>2.0000000000000018E-2</v>
      </c>
      <c r="N21" s="30">
        <f t="shared" ca="1" si="14"/>
        <v>2.0000000000000018E-2</v>
      </c>
      <c r="V21" s="42">
        <f>+IFERROR(V16/R16-1,"NM")</f>
        <v>-0.20201434217057013</v>
      </c>
      <c r="W21" s="42">
        <f t="shared" ref="W21:AC21" si="15">+IFERROR(W16/S16-1,"NM")</f>
        <v>0.75507055243605969</v>
      </c>
      <c r="X21" s="42">
        <f t="shared" si="15"/>
        <v>0.24755723878289215</v>
      </c>
      <c r="Y21" s="42">
        <f t="shared" si="15"/>
        <v>0.62993143197448176</v>
      </c>
      <c r="Z21" s="42">
        <f t="shared" si="15"/>
        <v>0.52651526186916286</v>
      </c>
      <c r="AA21" s="42">
        <f t="shared" si="15"/>
        <v>-3.1576430674915557E-3</v>
      </c>
      <c r="AB21" s="42">
        <f t="shared" si="15"/>
        <v>6.9324398594785563E-2</v>
      </c>
      <c r="AC21" s="42">
        <f t="shared" si="15"/>
        <v>-0.61572323428690812</v>
      </c>
      <c r="AD21" s="86">
        <f ca="1">+SUMIFS(Drivers!$42:$42,Drivers!$3:$3,'Costal Nav'!AD$3)</f>
        <v>0.02</v>
      </c>
      <c r="AE21" s="86">
        <f ca="1">+SUMIFS(Drivers!$42:$42,Drivers!$3:$3,'Costal Nav'!AE$3)</f>
        <v>0.02</v>
      </c>
      <c r="AF21" s="86">
        <f ca="1">+SUMIFS(Drivers!$42:$42,Drivers!$3:$3,'Costal Nav'!AF$3)</f>
        <v>0.02</v>
      </c>
      <c r="AG21" s="86">
        <f ca="1">+SUMIFS(Drivers!$42:$42,Drivers!$3:$3,'Costal Nav'!AG$3)</f>
        <v>0.02</v>
      </c>
      <c r="AH21" s="86">
        <f ca="1">+SUMIFS(Drivers!$42:$42,Drivers!$3:$3,'Costal Nav'!AH$3)</f>
        <v>0.02</v>
      </c>
      <c r="AI21" s="86">
        <f ca="1">+SUMIFS(Drivers!$42:$42,Drivers!$3:$3,'Costal Nav'!AI$3)</f>
        <v>0.02</v>
      </c>
      <c r="AJ21" s="86">
        <f ca="1">+SUMIFS(Drivers!$42:$42,Drivers!$3:$3,'Costal Nav'!AJ$3)</f>
        <v>0.02</v>
      </c>
      <c r="AK21" s="86">
        <f ca="1">+SUMIFS(Drivers!$42:$42,Drivers!$3:$3,'Costal Nav'!AK$3)</f>
        <v>0.02</v>
      </c>
      <c r="AL21" s="86">
        <f ca="1">+SUMIFS(Drivers!$42:$42,Drivers!$3:$3,'Costal Nav'!AL$3)</f>
        <v>0.02</v>
      </c>
      <c r="AM21" s="86">
        <f ca="1">+SUMIFS(Drivers!$42:$42,Drivers!$3:$3,'Costal Nav'!AM$3)</f>
        <v>0.02</v>
      </c>
      <c r="AN21" s="86">
        <f ca="1">+SUMIFS(Drivers!$42:$42,Drivers!$3:$3,'Costal Nav'!AN$3)</f>
        <v>0.02</v>
      </c>
      <c r="AO21" s="86">
        <f ca="1">+SUMIFS(Drivers!$42:$42,Drivers!$3:$3,'Costal Nav'!AO$3)</f>
        <v>0.02</v>
      </c>
      <c r="AP21" s="86">
        <f ca="1">+SUMIFS(Drivers!$42:$42,Drivers!$3:$3,'Costal Nav'!AP$3)</f>
        <v>0.02</v>
      </c>
      <c r="AQ21" s="86">
        <f ca="1">+SUMIFS(Drivers!$42:$42,Drivers!$3:$3,'Costal Nav'!AQ$3)</f>
        <v>0.02</v>
      </c>
      <c r="AR21" s="86">
        <f ca="1">+SUMIFS(Drivers!$42:$42,Drivers!$3:$3,'Costal Nav'!AR$3)</f>
        <v>0.02</v>
      </c>
      <c r="AS21" s="86">
        <f ca="1">+SUMIFS(Drivers!$42:$42,Drivers!$3:$3,'Costal Nav'!AS$3)</f>
        <v>0.02</v>
      </c>
      <c r="AT21" s="86">
        <f ca="1">+SUMIFS(Drivers!$42:$42,Drivers!$3:$3,'Costal Nav'!AT$3)</f>
        <v>0.02</v>
      </c>
      <c r="AU21" s="86">
        <f ca="1">+SUMIFS(Drivers!$42:$42,Drivers!$3:$3,'Costal Nav'!AU$3)</f>
        <v>0.02</v>
      </c>
      <c r="AV21" s="86">
        <f ca="1">+SUMIFS(Drivers!$42:$42,Drivers!$3:$3,'Costal Nav'!AV$3)</f>
        <v>0.02</v>
      </c>
      <c r="AW21" s="86">
        <f ca="1">+SUMIFS(Drivers!$42:$42,Drivers!$3:$3,'Costal Nav'!AW$3)</f>
        <v>0.02</v>
      </c>
      <c r="AX21" s="86">
        <f ca="1">+SUMIFS(Drivers!$42:$42,Drivers!$3:$3,'Costal Nav'!AX$3)</f>
        <v>0.02</v>
      </c>
      <c r="AY21" s="86">
        <f ca="1">+SUMIFS(Drivers!$42:$42,Drivers!$3:$3,'Costal Nav'!AY$3)</f>
        <v>0.02</v>
      </c>
      <c r="AZ21" s="86">
        <f ca="1">+SUMIFS(Drivers!$42:$42,Drivers!$3:$3,'Costal Nav'!AZ$3)</f>
        <v>0.02</v>
      </c>
      <c r="BA21" s="86">
        <f ca="1">+SUMIFS(Drivers!$42:$42,Drivers!$3:$3,'Costal Nav'!BA$3)</f>
        <v>0.02</v>
      </c>
      <c r="BB21" s="8" t="s">
        <v>75</v>
      </c>
    </row>
    <row r="22" spans="1:57" s="25" customFormat="1" x14ac:dyDescent="0.2">
      <c r="B22" s="26" t="s">
        <v>15</v>
      </c>
      <c r="C22" s="45" t="s">
        <v>177</v>
      </c>
      <c r="D22" s="26"/>
      <c r="E22" s="11"/>
      <c r="F22" s="11"/>
      <c r="G22" s="27"/>
      <c r="H22" s="30">
        <f t="shared" ref="H22:N22" si="16">+SUM(H17:H18)/SUM(G17:G18)-1</f>
        <v>-8.5595166443567794E-2</v>
      </c>
      <c r="I22" s="30">
        <f t="shared" ca="1" si="16"/>
        <v>2.0000000000000018E-2</v>
      </c>
      <c r="J22" s="30">
        <f t="shared" ca="1" si="16"/>
        <v>2.0000000000000018E-2</v>
      </c>
      <c r="K22" s="30">
        <f t="shared" ca="1" si="16"/>
        <v>2.0000000000000018E-2</v>
      </c>
      <c r="L22" s="30">
        <f t="shared" ca="1" si="16"/>
        <v>2.0000000000000018E-2</v>
      </c>
      <c r="M22" s="30">
        <f t="shared" ca="1" si="16"/>
        <v>2.0000000000000018E-2</v>
      </c>
      <c r="N22" s="30">
        <f t="shared" ca="1" si="16"/>
        <v>2.0000000000000018E-2</v>
      </c>
      <c r="V22" s="42">
        <f t="shared" ref="V22:AC22" si="17">+IFERROR(V17/R17-1,"NM")</f>
        <v>-0.15243576316611152</v>
      </c>
      <c r="W22" s="42">
        <f t="shared" si="17"/>
        <v>0.66959092682008303</v>
      </c>
      <c r="X22" s="42">
        <f t="shared" si="17"/>
        <v>0.20069173189119982</v>
      </c>
      <c r="Y22" s="42">
        <f t="shared" si="17"/>
        <v>0.81938747026003478</v>
      </c>
      <c r="Z22" s="42">
        <f t="shared" si="17"/>
        <v>0.99665371151344129</v>
      </c>
      <c r="AA22" s="42">
        <f t="shared" si="17"/>
        <v>9.7690374004921754E-2</v>
      </c>
      <c r="AB22" s="42">
        <f t="shared" si="17"/>
        <v>0.16426155614065707</v>
      </c>
      <c r="AC22" s="42">
        <f t="shared" si="17"/>
        <v>-0.55770816398514578</v>
      </c>
      <c r="AD22" s="42">
        <f t="shared" ref="AD22:AM23" ca="1" si="18">+IFERROR(AD17/Z17-1,"NM")</f>
        <v>2.0000000000000018E-2</v>
      </c>
      <c r="AE22" s="42">
        <f t="shared" ca="1" si="18"/>
        <v>2.0000000000000018E-2</v>
      </c>
      <c r="AF22" s="42">
        <f t="shared" ca="1" si="18"/>
        <v>2.0000000000000018E-2</v>
      </c>
      <c r="AG22" s="42">
        <f t="shared" ca="1" si="18"/>
        <v>2.0000000000000018E-2</v>
      </c>
      <c r="AH22" s="42">
        <f t="shared" ca="1" si="18"/>
        <v>2.0000000000000018E-2</v>
      </c>
      <c r="AI22" s="42">
        <f t="shared" ca="1" si="18"/>
        <v>2.0000000000000018E-2</v>
      </c>
      <c r="AJ22" s="42">
        <f t="shared" ca="1" si="18"/>
        <v>2.0000000000000018E-2</v>
      </c>
      <c r="AK22" s="42">
        <f t="shared" ca="1" si="18"/>
        <v>2.0000000000000018E-2</v>
      </c>
      <c r="AL22" s="42">
        <f t="shared" ca="1" si="18"/>
        <v>2.0000000000000018E-2</v>
      </c>
      <c r="AM22" s="42">
        <f t="shared" ca="1" si="18"/>
        <v>2.0000000000000018E-2</v>
      </c>
      <c r="AN22" s="42">
        <f t="shared" ref="AN22:AW23" ca="1" si="19">+IFERROR(AN17/AJ17-1,"NM")</f>
        <v>2.0000000000000018E-2</v>
      </c>
      <c r="AO22" s="42">
        <f t="shared" ca="1" si="19"/>
        <v>2.0000000000000018E-2</v>
      </c>
      <c r="AP22" s="42">
        <f t="shared" ca="1" si="19"/>
        <v>2.0000000000000018E-2</v>
      </c>
      <c r="AQ22" s="42">
        <f t="shared" ca="1" si="19"/>
        <v>2.0000000000000018E-2</v>
      </c>
      <c r="AR22" s="42">
        <f t="shared" ca="1" si="19"/>
        <v>2.0000000000000018E-2</v>
      </c>
      <c r="AS22" s="42">
        <f t="shared" ca="1" si="19"/>
        <v>2.0000000000000018E-2</v>
      </c>
      <c r="AT22" s="42">
        <f t="shared" ca="1" si="19"/>
        <v>2.0000000000000018E-2</v>
      </c>
      <c r="AU22" s="42">
        <f t="shared" ca="1" si="19"/>
        <v>2.0000000000000018E-2</v>
      </c>
      <c r="AV22" s="42">
        <f t="shared" ca="1" si="19"/>
        <v>2.0000000000000018E-2</v>
      </c>
      <c r="AW22" s="42">
        <f t="shared" ca="1" si="19"/>
        <v>2.0000000000000018E-2</v>
      </c>
      <c r="AX22" s="42">
        <f t="shared" ref="AX22:BA23" ca="1" si="20">+IFERROR(AX17/AT17-1,"NM")</f>
        <v>2.0000000000000018E-2</v>
      </c>
      <c r="AY22" s="42">
        <f t="shared" ca="1" si="20"/>
        <v>2.0000000000000018E-2</v>
      </c>
      <c r="AZ22" s="42">
        <f t="shared" ca="1" si="20"/>
        <v>2.0000000000000018E-2</v>
      </c>
      <c r="BA22" s="42">
        <f t="shared" ca="1" si="20"/>
        <v>2.0000000000000018E-2</v>
      </c>
      <c r="BB22" s="8" t="s">
        <v>75</v>
      </c>
    </row>
    <row r="23" spans="1:57" s="25" customFormat="1" x14ac:dyDescent="0.2">
      <c r="B23" s="26" t="s">
        <v>14</v>
      </c>
      <c r="C23" s="45" t="s">
        <v>177</v>
      </c>
      <c r="D23" s="26"/>
      <c r="E23" s="11"/>
      <c r="F23" s="11"/>
      <c r="G23" s="27"/>
      <c r="H23" s="30">
        <f t="shared" ref="H23:N23" si="21">+H17/G17-1</f>
        <v>4.936908782145788E-2</v>
      </c>
      <c r="I23" s="30">
        <f t="shared" ca="1" si="21"/>
        <v>2.0000000000000018E-2</v>
      </c>
      <c r="J23" s="30">
        <f t="shared" ca="1" si="21"/>
        <v>2.0000000000000018E-2</v>
      </c>
      <c r="K23" s="30">
        <f t="shared" ca="1" si="21"/>
        <v>2.0000000000000018E-2</v>
      </c>
      <c r="L23" s="30">
        <f t="shared" ca="1" si="21"/>
        <v>2.0000000000000018E-2</v>
      </c>
      <c r="M23" s="30">
        <f t="shared" ca="1" si="21"/>
        <v>2.0000000000000018E-2</v>
      </c>
      <c r="N23" s="30">
        <f t="shared" ca="1" si="21"/>
        <v>2.0000000000000018E-2</v>
      </c>
      <c r="V23" s="42">
        <f t="shared" ref="V23:AC23" si="22">+IFERROR(V18/R18-1,"NM")</f>
        <v>-0.32938517330124673</v>
      </c>
      <c r="W23" s="42">
        <f t="shared" si="22"/>
        <v>2.5532868056210507</v>
      </c>
      <c r="X23" s="42">
        <f t="shared" si="22"/>
        <v>1.2263409154731817</v>
      </c>
      <c r="Y23" s="42">
        <f t="shared" si="22"/>
        <v>-3.5396167153338487E-2</v>
      </c>
      <c r="Z23" s="42">
        <f t="shared" si="22"/>
        <v>-1</v>
      </c>
      <c r="AA23" s="42">
        <f t="shared" si="22"/>
        <v>-1</v>
      </c>
      <c r="AB23" s="42">
        <f t="shared" si="22"/>
        <v>-1</v>
      </c>
      <c r="AC23" s="42">
        <f t="shared" si="22"/>
        <v>-1</v>
      </c>
      <c r="AD23" s="42" t="str">
        <f t="shared" ca="1" si="18"/>
        <v>NM</v>
      </c>
      <c r="AE23" s="42" t="str">
        <f t="shared" ca="1" si="18"/>
        <v>NM</v>
      </c>
      <c r="AF23" s="42" t="str">
        <f t="shared" ca="1" si="18"/>
        <v>NM</v>
      </c>
      <c r="AG23" s="42" t="str">
        <f t="shared" ca="1" si="18"/>
        <v>NM</v>
      </c>
      <c r="AH23" s="42" t="str">
        <f t="shared" ca="1" si="18"/>
        <v>NM</v>
      </c>
      <c r="AI23" s="42" t="str">
        <f t="shared" ca="1" si="18"/>
        <v>NM</v>
      </c>
      <c r="AJ23" s="42" t="str">
        <f t="shared" ca="1" si="18"/>
        <v>NM</v>
      </c>
      <c r="AK23" s="42" t="str">
        <f t="shared" ca="1" si="18"/>
        <v>NM</v>
      </c>
      <c r="AL23" s="42" t="str">
        <f t="shared" ca="1" si="18"/>
        <v>NM</v>
      </c>
      <c r="AM23" s="42" t="str">
        <f t="shared" ca="1" si="18"/>
        <v>NM</v>
      </c>
      <c r="AN23" s="42" t="str">
        <f t="shared" ca="1" si="19"/>
        <v>NM</v>
      </c>
      <c r="AO23" s="42" t="str">
        <f t="shared" ca="1" si="19"/>
        <v>NM</v>
      </c>
      <c r="AP23" s="42" t="str">
        <f t="shared" ca="1" si="19"/>
        <v>NM</v>
      </c>
      <c r="AQ23" s="42" t="str">
        <f t="shared" ca="1" si="19"/>
        <v>NM</v>
      </c>
      <c r="AR23" s="42" t="str">
        <f t="shared" ca="1" si="19"/>
        <v>NM</v>
      </c>
      <c r="AS23" s="42" t="str">
        <f t="shared" ca="1" si="19"/>
        <v>NM</v>
      </c>
      <c r="AT23" s="42" t="str">
        <f t="shared" ca="1" si="19"/>
        <v>NM</v>
      </c>
      <c r="AU23" s="42" t="str">
        <f t="shared" ca="1" si="19"/>
        <v>NM</v>
      </c>
      <c r="AV23" s="42" t="str">
        <f t="shared" ca="1" si="19"/>
        <v>NM</v>
      </c>
      <c r="AW23" s="42" t="str">
        <f t="shared" ca="1" si="19"/>
        <v>NM</v>
      </c>
      <c r="AX23" s="42" t="str">
        <f t="shared" ca="1" si="20"/>
        <v>NM</v>
      </c>
      <c r="AY23" s="42" t="str">
        <f t="shared" ca="1" si="20"/>
        <v>NM</v>
      </c>
      <c r="AZ23" s="42" t="str">
        <f t="shared" ca="1" si="20"/>
        <v>NM</v>
      </c>
      <c r="BA23" s="42" t="str">
        <f t="shared" ca="1" si="20"/>
        <v>NM</v>
      </c>
      <c r="BB23" s="8" t="s">
        <v>75</v>
      </c>
    </row>
    <row r="24" spans="1:57" s="25" customFormat="1" x14ac:dyDescent="0.2">
      <c r="B24" s="26"/>
      <c r="C24" s="26"/>
      <c r="D24" s="26"/>
      <c r="E24" s="11"/>
      <c r="F24" s="11"/>
      <c r="G24" s="27"/>
      <c r="H24" s="27"/>
      <c r="I24" s="27"/>
      <c r="J24" s="27"/>
      <c r="K24" s="27"/>
      <c r="L24" s="27"/>
      <c r="M24" s="27"/>
      <c r="N24" s="27"/>
      <c r="O24" s="27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BB24" s="8" t="s">
        <v>75</v>
      </c>
    </row>
    <row r="25" spans="1:57" s="25" customFormat="1" x14ac:dyDescent="0.2">
      <c r="B25" s="33" t="s">
        <v>203</v>
      </c>
      <c r="C25" s="45" t="s">
        <v>177</v>
      </c>
      <c r="D25" s="33"/>
      <c r="E25" s="11"/>
      <c r="F25" s="11"/>
      <c r="G25" s="27"/>
      <c r="H25" s="115" t="s">
        <v>147</v>
      </c>
      <c r="I25" s="115" t="s">
        <v>147</v>
      </c>
      <c r="J25" s="115" t="s">
        <v>147</v>
      </c>
      <c r="K25" s="115" t="s">
        <v>147</v>
      </c>
      <c r="L25" s="115" t="s">
        <v>147</v>
      </c>
      <c r="M25" s="115" t="s">
        <v>147</v>
      </c>
      <c r="N25" s="115" t="s">
        <v>147</v>
      </c>
      <c r="O25" s="27"/>
      <c r="S25" s="42">
        <f>+IFERROR(S16/R16-1,"NM")</f>
        <v>-0.4529653596546267</v>
      </c>
      <c r="T25" s="42">
        <f t="shared" ref="T25:BA25" si="23">+IFERROR(T16/S16-1,"NM")</f>
        <v>0.66767170541308585</v>
      </c>
      <c r="U25" s="42">
        <f t="shared" si="23"/>
        <v>-5.6265502237198284E-2</v>
      </c>
      <c r="V25" s="42">
        <f t="shared" si="23"/>
        <v>-7.3127778820189171E-2</v>
      </c>
      <c r="W25" s="42">
        <f t="shared" si="23"/>
        <v>0.20313489222864511</v>
      </c>
      <c r="X25" s="42">
        <f t="shared" si="23"/>
        <v>0.18543149454232721</v>
      </c>
      <c r="Y25" s="42">
        <f t="shared" si="23"/>
        <v>0.23298753237400205</v>
      </c>
      <c r="Z25" s="42">
        <f t="shared" si="23"/>
        <v>-0.13193612708015867</v>
      </c>
      <c r="AA25" s="42">
        <f t="shared" si="23"/>
        <v>-0.21433093291946603</v>
      </c>
      <c r="AB25" s="42">
        <f t="shared" si="23"/>
        <v>0.2716261615101252</v>
      </c>
      <c r="AC25" s="42">
        <f t="shared" si="23"/>
        <v>-0.55690858477756044</v>
      </c>
      <c r="AD25" s="42">
        <f t="shared" ca="1" si="23"/>
        <v>1.3041339716055407</v>
      </c>
      <c r="AE25" s="42">
        <f t="shared" ca="1" si="23"/>
        <v>-0.21433093291946603</v>
      </c>
      <c r="AF25" s="42">
        <f t="shared" ca="1" si="23"/>
        <v>0.2716261615101252</v>
      </c>
      <c r="AG25" s="42">
        <f t="shared" ca="1" si="23"/>
        <v>-0.55690858477756044</v>
      </c>
      <c r="AH25" s="42">
        <f t="shared" ca="1" si="23"/>
        <v>1.3041339716055407</v>
      </c>
      <c r="AI25" s="42">
        <f t="shared" ca="1" si="23"/>
        <v>-0.21433093291946603</v>
      </c>
      <c r="AJ25" s="42">
        <f t="shared" ca="1" si="23"/>
        <v>0.2716261615101252</v>
      </c>
      <c r="AK25" s="42">
        <f t="shared" ca="1" si="23"/>
        <v>-0.55690858477756033</v>
      </c>
      <c r="AL25" s="42">
        <f t="shared" ca="1" si="23"/>
        <v>1.3041339716055407</v>
      </c>
      <c r="AM25" s="42">
        <f t="shared" ca="1" si="23"/>
        <v>-0.21433093291946603</v>
      </c>
      <c r="AN25" s="42">
        <f t="shared" ca="1" si="23"/>
        <v>0.2716261615101252</v>
      </c>
      <c r="AO25" s="42">
        <f t="shared" ca="1" si="23"/>
        <v>-0.55690858477756033</v>
      </c>
      <c r="AP25" s="42">
        <f t="shared" ca="1" si="23"/>
        <v>1.3041339716055407</v>
      </c>
      <c r="AQ25" s="42">
        <f t="shared" ca="1" si="23"/>
        <v>-0.21433093291946614</v>
      </c>
      <c r="AR25" s="42">
        <f t="shared" ca="1" si="23"/>
        <v>0.2716261615101252</v>
      </c>
      <c r="AS25" s="42">
        <f t="shared" ca="1" si="23"/>
        <v>-0.55690858477756033</v>
      </c>
      <c r="AT25" s="42">
        <f t="shared" ca="1" si="23"/>
        <v>1.3041339716055407</v>
      </c>
      <c r="AU25" s="42">
        <f t="shared" ca="1" si="23"/>
        <v>-0.21433093291946614</v>
      </c>
      <c r="AV25" s="42">
        <f t="shared" ca="1" si="23"/>
        <v>0.2716261615101252</v>
      </c>
      <c r="AW25" s="42">
        <f t="shared" ca="1" si="23"/>
        <v>-0.55690858477756033</v>
      </c>
      <c r="AX25" s="42">
        <f t="shared" ca="1" si="23"/>
        <v>1.3041339716055407</v>
      </c>
      <c r="AY25" s="42">
        <f t="shared" ca="1" si="23"/>
        <v>-0.21433093291946603</v>
      </c>
      <c r="AZ25" s="42">
        <f t="shared" ca="1" si="23"/>
        <v>0.2716261615101252</v>
      </c>
      <c r="BA25" s="42">
        <f t="shared" ca="1" si="23"/>
        <v>-0.55690858477756033</v>
      </c>
      <c r="BB25" s="8" t="s">
        <v>75</v>
      </c>
    </row>
    <row r="26" spans="1:57" s="25" customFormat="1" x14ac:dyDescent="0.2">
      <c r="B26" s="26" t="s">
        <v>15</v>
      </c>
      <c r="C26" s="45" t="s">
        <v>177</v>
      </c>
      <c r="D26" s="33"/>
      <c r="E26" s="11"/>
      <c r="F26" s="11"/>
      <c r="G26" s="27"/>
      <c r="H26" s="115" t="s">
        <v>147</v>
      </c>
      <c r="I26" s="115" t="s">
        <v>147</v>
      </c>
      <c r="J26" s="115" t="s">
        <v>147</v>
      </c>
      <c r="K26" s="115" t="s">
        <v>147</v>
      </c>
      <c r="L26" s="115" t="s">
        <v>147</v>
      </c>
      <c r="M26" s="115" t="s">
        <v>147</v>
      </c>
      <c r="N26" s="115" t="s">
        <v>147</v>
      </c>
      <c r="O26" s="27"/>
      <c r="S26" s="42">
        <f t="shared" ref="S26:BA26" si="24">+IFERROR(S17/R17-1,"NM")</f>
        <v>-0.2745205818068277</v>
      </c>
      <c r="T26" s="42">
        <f t="shared" si="24"/>
        <v>0.66712171546672749</v>
      </c>
      <c r="U26" s="42">
        <f t="shared" si="24"/>
        <v>-0.23026490057320492</v>
      </c>
      <c r="V26" s="42">
        <f t="shared" si="24"/>
        <v>-8.9585998721312343E-2</v>
      </c>
      <c r="W26" s="42">
        <f t="shared" si="24"/>
        <v>0.42909976798304084</v>
      </c>
      <c r="X26" s="42">
        <f t="shared" si="24"/>
        <v>0.19891599053525444</v>
      </c>
      <c r="Y26" s="42">
        <f t="shared" si="24"/>
        <v>0.16636631878079222</v>
      </c>
      <c r="Z26" s="42">
        <f t="shared" si="24"/>
        <v>-8.8270124939926475E-4</v>
      </c>
      <c r="AA26" s="42">
        <f t="shared" si="24"/>
        <v>-0.21433093291946603</v>
      </c>
      <c r="AB26" s="42">
        <f t="shared" si="24"/>
        <v>0.2716261615101252</v>
      </c>
      <c r="AC26" s="42">
        <f t="shared" si="24"/>
        <v>-0.55690858477756044</v>
      </c>
      <c r="AD26" s="42">
        <f t="shared" ca="1" si="24"/>
        <v>1.3041339716055407</v>
      </c>
      <c r="AE26" s="42">
        <f t="shared" ca="1" si="24"/>
        <v>-0.21433093291946603</v>
      </c>
      <c r="AF26" s="42">
        <f t="shared" ca="1" si="24"/>
        <v>0.2716261615101252</v>
      </c>
      <c r="AG26" s="42">
        <f t="shared" ca="1" si="24"/>
        <v>-0.55690858477756044</v>
      </c>
      <c r="AH26" s="42">
        <f t="shared" ca="1" si="24"/>
        <v>1.3041339716055407</v>
      </c>
      <c r="AI26" s="42">
        <f t="shared" ca="1" si="24"/>
        <v>-0.21433093291946603</v>
      </c>
      <c r="AJ26" s="42">
        <f t="shared" ca="1" si="24"/>
        <v>0.2716261615101252</v>
      </c>
      <c r="AK26" s="42">
        <f t="shared" ca="1" si="24"/>
        <v>-0.55690858477756033</v>
      </c>
      <c r="AL26" s="42">
        <f t="shared" ca="1" si="24"/>
        <v>1.3041339716055407</v>
      </c>
      <c r="AM26" s="42">
        <f t="shared" ca="1" si="24"/>
        <v>-0.21433093291946603</v>
      </c>
      <c r="AN26" s="42">
        <f t="shared" ca="1" si="24"/>
        <v>0.2716261615101252</v>
      </c>
      <c r="AO26" s="42">
        <f t="shared" ca="1" si="24"/>
        <v>-0.55690858477756033</v>
      </c>
      <c r="AP26" s="42">
        <f t="shared" ca="1" si="24"/>
        <v>1.3041339716055407</v>
      </c>
      <c r="AQ26" s="42">
        <f t="shared" ca="1" si="24"/>
        <v>-0.21433093291946614</v>
      </c>
      <c r="AR26" s="42">
        <f t="shared" ca="1" si="24"/>
        <v>0.2716261615101252</v>
      </c>
      <c r="AS26" s="42">
        <f t="shared" ca="1" si="24"/>
        <v>-0.55690858477756033</v>
      </c>
      <c r="AT26" s="42">
        <f t="shared" ca="1" si="24"/>
        <v>1.3041339716055407</v>
      </c>
      <c r="AU26" s="42">
        <f t="shared" ca="1" si="24"/>
        <v>-0.21433093291946614</v>
      </c>
      <c r="AV26" s="42">
        <f t="shared" ca="1" si="24"/>
        <v>0.2716261615101252</v>
      </c>
      <c r="AW26" s="42">
        <f t="shared" ca="1" si="24"/>
        <v>-0.55690858477756033</v>
      </c>
      <c r="AX26" s="42">
        <f t="shared" ca="1" si="24"/>
        <v>1.3041339716055407</v>
      </c>
      <c r="AY26" s="42">
        <f t="shared" ca="1" si="24"/>
        <v>-0.21433093291946603</v>
      </c>
      <c r="AZ26" s="42">
        <f t="shared" ca="1" si="24"/>
        <v>0.2716261615101252</v>
      </c>
      <c r="BA26" s="42">
        <f t="shared" ca="1" si="24"/>
        <v>-0.55690858477756033</v>
      </c>
      <c r="BB26" s="8" t="s">
        <v>75</v>
      </c>
    </row>
    <row r="27" spans="1:57" s="25" customFormat="1" x14ac:dyDescent="0.2">
      <c r="B27" s="26" t="s">
        <v>14</v>
      </c>
      <c r="C27" s="45" t="s">
        <v>177</v>
      </c>
      <c r="D27" s="26"/>
      <c r="E27" s="11"/>
      <c r="F27" s="11"/>
      <c r="G27" s="27"/>
      <c r="H27" s="115" t="s">
        <v>147</v>
      </c>
      <c r="I27" s="115" t="s">
        <v>147</v>
      </c>
      <c r="J27" s="115" t="s">
        <v>147</v>
      </c>
      <c r="K27" s="115" t="s">
        <v>147</v>
      </c>
      <c r="L27" s="115" t="s">
        <v>147</v>
      </c>
      <c r="M27" s="115" t="s">
        <v>147</v>
      </c>
      <c r="N27" s="115" t="s">
        <v>147</v>
      </c>
      <c r="O27" s="27"/>
      <c r="S27" s="42">
        <f t="shared" ref="S27:BA27" si="25">+IFERROR(S18/R18-1,"NM")</f>
        <v>-0.91140245329055114</v>
      </c>
      <c r="T27" s="42">
        <f t="shared" si="25"/>
        <v>0.67924172404036587</v>
      </c>
      <c r="U27" s="42">
        <f t="shared" si="25"/>
        <v>3.5777028924459424</v>
      </c>
      <c r="V27" s="42">
        <f t="shared" si="25"/>
        <v>-1.5330159742841021E-2</v>
      </c>
      <c r="W27" s="42">
        <f t="shared" si="25"/>
        <v>-0.53056138755116411</v>
      </c>
      <c r="X27" s="42">
        <f t="shared" si="25"/>
        <v>5.2142639115605682E-2</v>
      </c>
      <c r="Y27" s="42">
        <f t="shared" si="25"/>
        <v>0.9833753784056507</v>
      </c>
      <c r="Z27" s="42">
        <f t="shared" si="25"/>
        <v>-1</v>
      </c>
      <c r="AA27" s="42" t="str">
        <f t="shared" si="25"/>
        <v>NM</v>
      </c>
      <c r="AB27" s="42" t="str">
        <f t="shared" si="25"/>
        <v>NM</v>
      </c>
      <c r="AC27" s="42" t="str">
        <f t="shared" si="25"/>
        <v>NM</v>
      </c>
      <c r="AD27" s="42" t="str">
        <f t="shared" ca="1" si="25"/>
        <v>NM</v>
      </c>
      <c r="AE27" s="42" t="str">
        <f t="shared" ca="1" si="25"/>
        <v>NM</v>
      </c>
      <c r="AF27" s="42" t="str">
        <f t="shared" ca="1" si="25"/>
        <v>NM</v>
      </c>
      <c r="AG27" s="42" t="str">
        <f t="shared" ca="1" si="25"/>
        <v>NM</v>
      </c>
      <c r="AH27" s="42" t="str">
        <f t="shared" ca="1" si="25"/>
        <v>NM</v>
      </c>
      <c r="AI27" s="42" t="str">
        <f t="shared" ca="1" si="25"/>
        <v>NM</v>
      </c>
      <c r="AJ27" s="42" t="str">
        <f t="shared" ca="1" si="25"/>
        <v>NM</v>
      </c>
      <c r="AK27" s="42" t="str">
        <f t="shared" ca="1" si="25"/>
        <v>NM</v>
      </c>
      <c r="AL27" s="42" t="str">
        <f t="shared" ca="1" si="25"/>
        <v>NM</v>
      </c>
      <c r="AM27" s="42" t="str">
        <f t="shared" ca="1" si="25"/>
        <v>NM</v>
      </c>
      <c r="AN27" s="42" t="str">
        <f t="shared" ca="1" si="25"/>
        <v>NM</v>
      </c>
      <c r="AO27" s="42" t="str">
        <f t="shared" ca="1" si="25"/>
        <v>NM</v>
      </c>
      <c r="AP27" s="42" t="str">
        <f t="shared" ca="1" si="25"/>
        <v>NM</v>
      </c>
      <c r="AQ27" s="42" t="str">
        <f t="shared" ca="1" si="25"/>
        <v>NM</v>
      </c>
      <c r="AR27" s="42" t="str">
        <f t="shared" ca="1" si="25"/>
        <v>NM</v>
      </c>
      <c r="AS27" s="42" t="str">
        <f t="shared" ca="1" si="25"/>
        <v>NM</v>
      </c>
      <c r="AT27" s="42" t="str">
        <f t="shared" ca="1" si="25"/>
        <v>NM</v>
      </c>
      <c r="AU27" s="42" t="str">
        <f t="shared" ca="1" si="25"/>
        <v>NM</v>
      </c>
      <c r="AV27" s="42" t="str">
        <f t="shared" ca="1" si="25"/>
        <v>NM</v>
      </c>
      <c r="AW27" s="42" t="str">
        <f t="shared" ca="1" si="25"/>
        <v>NM</v>
      </c>
      <c r="AX27" s="42" t="str">
        <f t="shared" ca="1" si="25"/>
        <v>NM</v>
      </c>
      <c r="AY27" s="42" t="str">
        <f t="shared" ca="1" si="25"/>
        <v>NM</v>
      </c>
      <c r="AZ27" s="42" t="str">
        <f t="shared" ca="1" si="25"/>
        <v>NM</v>
      </c>
      <c r="BA27" s="42" t="str">
        <f t="shared" ca="1" si="25"/>
        <v>NM</v>
      </c>
      <c r="BB27" s="8" t="s">
        <v>75</v>
      </c>
    </row>
    <row r="28" spans="1:57" x14ac:dyDescent="0.2">
      <c r="B28" s="19"/>
      <c r="C28" s="19"/>
      <c r="D28" s="19"/>
      <c r="E28" s="11"/>
      <c r="F28" s="11"/>
      <c r="G28" s="11"/>
      <c r="H28" s="11"/>
      <c r="I28" s="11"/>
      <c r="J28" s="11"/>
      <c r="K28" s="11"/>
      <c r="L28" s="11"/>
      <c r="M28" s="11"/>
      <c r="N28" s="11"/>
      <c r="R28" s="2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BB28" s="8" t="s">
        <v>75</v>
      </c>
    </row>
    <row r="29" spans="1:57" s="35" customFormat="1" x14ac:dyDescent="0.2">
      <c r="A29" s="17" t="s">
        <v>75</v>
      </c>
      <c r="B29" s="36" t="s">
        <v>245</v>
      </c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U29" s="37"/>
      <c r="V29" s="37"/>
      <c r="W29" s="37"/>
      <c r="X29" s="37"/>
      <c r="Y29" s="44"/>
      <c r="Z29" s="44"/>
      <c r="AA29" s="44"/>
      <c r="AB29" s="44"/>
      <c r="AC29" s="44"/>
      <c r="AD29" s="44"/>
      <c r="AE29" s="44"/>
      <c r="AF29" s="44"/>
      <c r="BB29" s="90" t="s">
        <v>75</v>
      </c>
      <c r="BE29" s="90"/>
    </row>
    <row r="30" spans="1:57" x14ac:dyDescent="0.2">
      <c r="B30" s="2" t="s">
        <v>132</v>
      </c>
      <c r="C30" s="45" t="s">
        <v>187</v>
      </c>
      <c r="D30" s="2"/>
      <c r="E30" s="11"/>
      <c r="F30" s="11"/>
      <c r="G30" s="13">
        <f t="shared" ref="G30:N31" si="26">+SUMIFS(30:30,$6:$6,G$3)</f>
        <v>155.32195816000001</v>
      </c>
      <c r="H30" s="13">
        <f t="shared" si="26"/>
        <v>214.62767113999999</v>
      </c>
      <c r="I30" s="13">
        <f t="shared" ca="1" si="26"/>
        <v>247.44936125251576</v>
      </c>
      <c r="J30" s="13">
        <f t="shared" ca="1" si="26"/>
        <v>254.87284209009127</v>
      </c>
      <c r="K30" s="13">
        <f t="shared" ca="1" si="26"/>
        <v>262.51902735279396</v>
      </c>
      <c r="L30" s="13">
        <f t="shared" ca="1" si="26"/>
        <v>270.3945981733778</v>
      </c>
      <c r="M30" s="13">
        <f t="shared" ca="1" si="26"/>
        <v>278.50643611857907</v>
      </c>
      <c r="N30" s="13">
        <f t="shared" ca="1" si="26"/>
        <v>286.86162920213644</v>
      </c>
      <c r="P30" s="97">
        <f ca="1">+(N30/I30)^(1/5)-1</f>
        <v>3.0000000000000027E-2</v>
      </c>
      <c r="R30" s="25"/>
      <c r="S30" s="25"/>
      <c r="T30" s="25"/>
      <c r="U30" s="25"/>
      <c r="V30" s="24">
        <f>+V31+V32</f>
        <v>27.046951589999999</v>
      </c>
      <c r="W30" s="24">
        <f t="shared" ref="W30:BA30" si="27">+W31+W32</f>
        <v>31.786093900000008</v>
      </c>
      <c r="X30" s="24">
        <f t="shared" si="27"/>
        <v>28.66828928999999</v>
      </c>
      <c r="Y30" s="24">
        <f t="shared" si="27"/>
        <v>67.820623380000015</v>
      </c>
      <c r="Z30" s="24">
        <f t="shared" si="27"/>
        <v>44.188485520000008</v>
      </c>
      <c r="AA30" s="24">
        <f t="shared" si="27"/>
        <v>49.104971079999991</v>
      </c>
      <c r="AB30" s="24">
        <f t="shared" si="27"/>
        <v>60.095779599999972</v>
      </c>
      <c r="AC30" s="24">
        <f t="shared" si="27"/>
        <v>61.238434940000019</v>
      </c>
      <c r="AD30" s="24">
        <f t="shared" ca="1" si="27"/>
        <v>61.862340313128932</v>
      </c>
      <c r="AE30" s="24">
        <f t="shared" ca="1" si="27"/>
        <v>61.862340313128939</v>
      </c>
      <c r="AF30" s="24">
        <f t="shared" ca="1" si="27"/>
        <v>61.862340313128939</v>
      </c>
      <c r="AG30" s="24">
        <f t="shared" ca="1" si="27"/>
        <v>61.862340313128939</v>
      </c>
      <c r="AH30" s="24">
        <f t="shared" ca="1" si="27"/>
        <v>63.718210522522817</v>
      </c>
      <c r="AI30" s="24">
        <f t="shared" ca="1" si="27"/>
        <v>63.718210522522817</v>
      </c>
      <c r="AJ30" s="24">
        <f t="shared" ca="1" si="27"/>
        <v>63.718210522522817</v>
      </c>
      <c r="AK30" s="24">
        <f t="shared" ca="1" si="27"/>
        <v>63.718210522522803</v>
      </c>
      <c r="AL30" s="24">
        <f t="shared" ca="1" si="27"/>
        <v>65.629756838198489</v>
      </c>
      <c r="AM30" s="24">
        <f t="shared" ca="1" si="27"/>
        <v>65.629756838198489</v>
      </c>
      <c r="AN30" s="24">
        <f t="shared" ca="1" si="27"/>
        <v>65.629756838198489</v>
      </c>
      <c r="AO30" s="24">
        <f t="shared" ca="1" si="27"/>
        <v>65.629756838198489</v>
      </c>
      <c r="AP30" s="24">
        <f t="shared" ca="1" si="27"/>
        <v>67.59864954334445</v>
      </c>
      <c r="AQ30" s="24">
        <f t="shared" ca="1" si="27"/>
        <v>67.59864954334445</v>
      </c>
      <c r="AR30" s="24">
        <f t="shared" ca="1" si="27"/>
        <v>67.59864954334445</v>
      </c>
      <c r="AS30" s="24">
        <f t="shared" ca="1" si="27"/>
        <v>67.59864954334445</v>
      </c>
      <c r="AT30" s="24">
        <f t="shared" ca="1" si="27"/>
        <v>69.626609029644769</v>
      </c>
      <c r="AU30" s="24">
        <f t="shared" ca="1" si="27"/>
        <v>69.626609029644769</v>
      </c>
      <c r="AV30" s="24">
        <f t="shared" ca="1" si="27"/>
        <v>69.626609029644769</v>
      </c>
      <c r="AW30" s="24">
        <f t="shared" ca="1" si="27"/>
        <v>69.626609029644769</v>
      </c>
      <c r="AX30" s="24">
        <f t="shared" ca="1" si="27"/>
        <v>71.71540730053411</v>
      </c>
      <c r="AY30" s="24">
        <f t="shared" ca="1" si="27"/>
        <v>71.71540730053411</v>
      </c>
      <c r="AZ30" s="24">
        <f t="shared" ca="1" si="27"/>
        <v>71.71540730053411</v>
      </c>
      <c r="BA30" s="24">
        <f t="shared" ca="1" si="27"/>
        <v>71.71540730053411</v>
      </c>
      <c r="BB30" s="8" t="s">
        <v>75</v>
      </c>
    </row>
    <row r="31" spans="1:57" x14ac:dyDescent="0.2">
      <c r="B31" s="19" t="s">
        <v>133</v>
      </c>
      <c r="C31" s="45" t="s">
        <v>187</v>
      </c>
      <c r="D31" s="19"/>
      <c r="E31" s="11"/>
      <c r="F31" s="11"/>
      <c r="G31" s="11">
        <f t="shared" si="26"/>
        <v>161.6330838386508</v>
      </c>
      <c r="H31" s="11">
        <f t="shared" si="26"/>
        <v>223.39514548</v>
      </c>
      <c r="I31" s="11">
        <f t="shared" ca="1" si="26"/>
        <v>247.44936125251576</v>
      </c>
      <c r="J31" s="11">
        <f t="shared" ca="1" si="26"/>
        <v>254.87284209009127</v>
      </c>
      <c r="K31" s="11">
        <f t="shared" ca="1" si="26"/>
        <v>262.51902735279396</v>
      </c>
      <c r="L31" s="11">
        <f t="shared" ca="1" si="26"/>
        <v>270.3945981733778</v>
      </c>
      <c r="M31" s="11">
        <f t="shared" ca="1" si="26"/>
        <v>278.50643611857907</v>
      </c>
      <c r="N31" s="11">
        <f t="shared" ca="1" si="26"/>
        <v>286.86162920213644</v>
      </c>
      <c r="P31" s="97">
        <f ca="1">+(N31/I31)^(1/5)-1</f>
        <v>3.0000000000000027E-2</v>
      </c>
      <c r="R31" s="25"/>
      <c r="S31" s="25"/>
      <c r="T31" s="25"/>
      <c r="U31" s="25"/>
      <c r="V31" s="12">
        <v>28.551096649999998</v>
      </c>
      <c r="W31" s="12">
        <v>33.193074518650775</v>
      </c>
      <c r="X31" s="12">
        <v>30.66828928999999</v>
      </c>
      <c r="Y31" s="12">
        <v>69.220623380000021</v>
      </c>
      <c r="Z31" s="12">
        <v>47.639664220000007</v>
      </c>
      <c r="AA31" s="12">
        <v>50.939418109999991</v>
      </c>
      <c r="AB31" s="12">
        <v>60.095779599999972</v>
      </c>
      <c r="AC31" s="12">
        <v>64.720283550000019</v>
      </c>
      <c r="AD31" s="23">
        <f ca="1">+AD48*AD$9</f>
        <v>61.862340313128932</v>
      </c>
      <c r="AE31" s="23">
        <f t="shared" ref="AE31:BA31" ca="1" si="28">+AE48*AE$9</f>
        <v>61.862340313128939</v>
      </c>
      <c r="AF31" s="23">
        <f t="shared" ca="1" si="28"/>
        <v>61.862340313128939</v>
      </c>
      <c r="AG31" s="23">
        <f t="shared" ca="1" si="28"/>
        <v>61.862340313128939</v>
      </c>
      <c r="AH31" s="23">
        <f t="shared" ca="1" si="28"/>
        <v>63.718210522522817</v>
      </c>
      <c r="AI31" s="23">
        <f t="shared" ca="1" si="28"/>
        <v>63.718210522522817</v>
      </c>
      <c r="AJ31" s="23">
        <f t="shared" ca="1" si="28"/>
        <v>63.718210522522817</v>
      </c>
      <c r="AK31" s="23">
        <f t="shared" ca="1" si="28"/>
        <v>63.718210522522803</v>
      </c>
      <c r="AL31" s="23">
        <f t="shared" ca="1" si="28"/>
        <v>65.629756838198489</v>
      </c>
      <c r="AM31" s="23">
        <f t="shared" ca="1" si="28"/>
        <v>65.629756838198489</v>
      </c>
      <c r="AN31" s="23">
        <f t="shared" ca="1" si="28"/>
        <v>65.629756838198489</v>
      </c>
      <c r="AO31" s="23">
        <f t="shared" ca="1" si="28"/>
        <v>65.629756838198489</v>
      </c>
      <c r="AP31" s="23">
        <f t="shared" ca="1" si="28"/>
        <v>67.59864954334445</v>
      </c>
      <c r="AQ31" s="23">
        <f t="shared" ca="1" si="28"/>
        <v>67.59864954334445</v>
      </c>
      <c r="AR31" s="23">
        <f t="shared" ca="1" si="28"/>
        <v>67.59864954334445</v>
      </c>
      <c r="AS31" s="23">
        <f t="shared" ca="1" si="28"/>
        <v>67.59864954334445</v>
      </c>
      <c r="AT31" s="23">
        <f t="shared" ca="1" si="28"/>
        <v>69.626609029644769</v>
      </c>
      <c r="AU31" s="23">
        <f t="shared" ca="1" si="28"/>
        <v>69.626609029644769</v>
      </c>
      <c r="AV31" s="23">
        <f t="shared" ca="1" si="28"/>
        <v>69.626609029644769</v>
      </c>
      <c r="AW31" s="23">
        <f t="shared" ca="1" si="28"/>
        <v>69.626609029644769</v>
      </c>
      <c r="AX31" s="23">
        <f t="shared" ca="1" si="28"/>
        <v>71.71540730053411</v>
      </c>
      <c r="AY31" s="23">
        <f t="shared" ca="1" si="28"/>
        <v>71.71540730053411</v>
      </c>
      <c r="AZ31" s="23">
        <f t="shared" ca="1" si="28"/>
        <v>71.71540730053411</v>
      </c>
      <c r="BA31" s="23">
        <f t="shared" ca="1" si="28"/>
        <v>71.71540730053411</v>
      </c>
      <c r="BB31" s="8" t="s">
        <v>75</v>
      </c>
    </row>
    <row r="32" spans="1:57" x14ac:dyDescent="0.2">
      <c r="B32" s="19" t="s">
        <v>135</v>
      </c>
      <c r="C32" s="45" t="s">
        <v>187</v>
      </c>
      <c r="D32" s="19"/>
      <c r="E32" s="11"/>
      <c r="F32" s="11"/>
      <c r="G32" s="11">
        <f t="shared" ref="G32:H37" si="29">+SUMIFS(32:32,$6:$6,G$3)</f>
        <v>-6.3111256786507681</v>
      </c>
      <c r="H32" s="11">
        <f t="shared" si="29"/>
        <v>-8.7674743400000015</v>
      </c>
      <c r="I32" s="11"/>
      <c r="J32" s="11"/>
      <c r="K32" s="11"/>
      <c r="L32" s="11"/>
      <c r="M32" s="11"/>
      <c r="N32" s="11"/>
      <c r="P32" s="97"/>
      <c r="R32" s="25"/>
      <c r="S32" s="25"/>
      <c r="T32" s="25"/>
      <c r="U32" s="25"/>
      <c r="V32" s="12">
        <v>-1.5041450600000001</v>
      </c>
      <c r="W32" s="12">
        <v>-1.4069806186507681</v>
      </c>
      <c r="X32" s="12">
        <v>-2</v>
      </c>
      <c r="Y32" s="12">
        <v>-1.4</v>
      </c>
      <c r="Z32" s="12">
        <v>-3.4511787000000003</v>
      </c>
      <c r="AA32" s="12">
        <v>-1.8344470300000002</v>
      </c>
      <c r="AB32" s="12">
        <v>0</v>
      </c>
      <c r="AC32" s="12">
        <v>-3.481848610000001</v>
      </c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8" t="s">
        <v>75</v>
      </c>
    </row>
    <row r="33" spans="1:57" x14ac:dyDescent="0.2">
      <c r="B33" s="2" t="s">
        <v>136</v>
      </c>
      <c r="C33" s="45" t="s">
        <v>187</v>
      </c>
      <c r="D33" s="2"/>
      <c r="E33" s="11"/>
      <c r="F33" s="11"/>
      <c r="G33" s="13">
        <f t="shared" si="29"/>
        <v>-94.88555049</v>
      </c>
      <c r="H33" s="13">
        <f t="shared" si="29"/>
        <v>-93.593043650000013</v>
      </c>
      <c r="R33" s="25"/>
      <c r="S33" s="25"/>
      <c r="T33" s="25"/>
      <c r="U33" s="25"/>
      <c r="V33" s="16">
        <v>-17.088633510000001</v>
      </c>
      <c r="W33" s="16">
        <v>-20.917742290000003</v>
      </c>
      <c r="X33" s="16">
        <v>-24.454993399999999</v>
      </c>
      <c r="Y33" s="16">
        <v>-32.42418129</v>
      </c>
      <c r="Z33" s="16">
        <v>-24.942393430000003</v>
      </c>
      <c r="AA33" s="16">
        <v>-22.232978799999998</v>
      </c>
      <c r="AB33" s="16">
        <v>-26.086995900000012</v>
      </c>
      <c r="AC33" s="16">
        <v>-20.330675520000003</v>
      </c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8" t="s">
        <v>75</v>
      </c>
    </row>
    <row r="34" spans="1:57" x14ac:dyDescent="0.2">
      <c r="B34" s="22" t="s">
        <v>137</v>
      </c>
      <c r="C34" s="45" t="s">
        <v>187</v>
      </c>
      <c r="D34" s="19"/>
      <c r="E34" s="11"/>
      <c r="F34" s="11"/>
      <c r="G34" s="11">
        <f t="shared" si="29"/>
        <v>0.10793009000000003</v>
      </c>
      <c r="H34" s="11">
        <f t="shared" si="29"/>
        <v>-5.9304958899999995</v>
      </c>
      <c r="R34" s="25"/>
      <c r="S34" s="25"/>
      <c r="T34" s="25"/>
      <c r="U34" s="25"/>
      <c r="V34" s="12">
        <v>1.4299169999999998E-2</v>
      </c>
      <c r="W34" s="12">
        <v>-9.9507720000000036E-2</v>
      </c>
      <c r="X34" s="12">
        <v>-0.13514157999999993</v>
      </c>
      <c r="Y34" s="12">
        <v>0.32828022000000001</v>
      </c>
      <c r="Z34" s="12">
        <v>-0.11826895</v>
      </c>
      <c r="AA34" s="12">
        <v>-7.4709149999999988E-2</v>
      </c>
      <c r="AB34" s="12">
        <v>-0.22186085</v>
      </c>
      <c r="AC34" s="12">
        <v>-5.5156569399999995</v>
      </c>
      <c r="BB34" s="8" t="s">
        <v>75</v>
      </c>
    </row>
    <row r="35" spans="1:57" x14ac:dyDescent="0.2">
      <c r="B35" s="22" t="s">
        <v>138</v>
      </c>
      <c r="C35" s="45" t="s">
        <v>187</v>
      </c>
      <c r="D35" s="19"/>
      <c r="E35" s="11"/>
      <c r="F35" s="11"/>
      <c r="G35" s="11">
        <f t="shared" si="29"/>
        <v>23.404070050000001</v>
      </c>
      <c r="H35" s="11">
        <f t="shared" si="29"/>
        <v>15.786216799999998</v>
      </c>
      <c r="R35" s="25"/>
      <c r="S35" s="25"/>
      <c r="T35" s="25"/>
      <c r="U35" s="25"/>
      <c r="V35" s="12">
        <v>0</v>
      </c>
      <c r="W35" s="12">
        <v>5.5013645800000006</v>
      </c>
      <c r="X35" s="12">
        <v>12.296945669999999</v>
      </c>
      <c r="Y35" s="12">
        <v>5.6057598000000013</v>
      </c>
      <c r="Z35" s="12">
        <v>3.6588686899999994</v>
      </c>
      <c r="AA35" s="12">
        <v>4.0407657899999991</v>
      </c>
      <c r="AB35" s="12">
        <v>4.788337880000002</v>
      </c>
      <c r="AC35" s="12">
        <v>3.2982444399999977</v>
      </c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8" t="s">
        <v>75</v>
      </c>
    </row>
    <row r="36" spans="1:57" x14ac:dyDescent="0.2">
      <c r="B36" s="1" t="s">
        <v>14</v>
      </c>
      <c r="C36" s="45" t="s">
        <v>187</v>
      </c>
      <c r="E36" s="11"/>
      <c r="F36" s="11"/>
      <c r="G36" s="11">
        <f t="shared" si="29"/>
        <v>0</v>
      </c>
      <c r="H36" s="11">
        <f t="shared" si="29"/>
        <v>0</v>
      </c>
      <c r="R36" s="25"/>
      <c r="S36" s="25"/>
      <c r="T36" s="25"/>
      <c r="U36" s="25"/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BB36" s="8" t="s">
        <v>75</v>
      </c>
    </row>
    <row r="37" spans="1:57" s="2" customFormat="1" x14ac:dyDescent="0.2">
      <c r="B37" s="18" t="s">
        <v>140</v>
      </c>
      <c r="C37" s="81" t="s">
        <v>187</v>
      </c>
      <c r="E37" s="13"/>
      <c r="F37" s="13"/>
      <c r="G37" s="13">
        <f t="shared" si="29"/>
        <v>83.94840781000002</v>
      </c>
      <c r="H37" s="13">
        <f t="shared" si="29"/>
        <v>130.89034839999997</v>
      </c>
      <c r="R37" s="32"/>
      <c r="S37" s="32"/>
      <c r="T37" s="32"/>
      <c r="U37" s="32"/>
      <c r="V37" s="24">
        <f>+SUM(V33:V36,V30)</f>
        <v>9.972617249999999</v>
      </c>
      <c r="W37" s="24">
        <f t="shared" ref="W37:AC37" si="30">+SUM(W33:W36,W30)</f>
        <v>16.270208470000007</v>
      </c>
      <c r="X37" s="24">
        <f t="shared" si="30"/>
        <v>16.375099979999991</v>
      </c>
      <c r="Y37" s="24">
        <f t="shared" si="30"/>
        <v>41.33048211000002</v>
      </c>
      <c r="Z37" s="24">
        <f t="shared" si="30"/>
        <v>22.786691830000002</v>
      </c>
      <c r="AA37" s="24">
        <f t="shared" si="30"/>
        <v>30.838048919999991</v>
      </c>
      <c r="AB37" s="24">
        <f t="shared" si="30"/>
        <v>38.575260729999961</v>
      </c>
      <c r="AC37" s="24">
        <f t="shared" si="30"/>
        <v>38.69034692000001</v>
      </c>
      <c r="BB37" s="83" t="s">
        <v>75</v>
      </c>
    </row>
    <row r="38" spans="1:57" s="25" customFormat="1" x14ac:dyDescent="0.2">
      <c r="B38" s="26" t="s">
        <v>141</v>
      </c>
      <c r="C38" s="116" t="s">
        <v>177</v>
      </c>
      <c r="E38" s="27"/>
      <c r="F38" s="27"/>
      <c r="G38" s="30">
        <f>+G37/G31</f>
        <v>0.51937639136923841</v>
      </c>
      <c r="H38" s="30">
        <f>+H37/H31</f>
        <v>0.58591402296930506</v>
      </c>
      <c r="V38" s="30">
        <f>+V37/V31</f>
        <v>0.34929016465642482</v>
      </c>
      <c r="W38" s="30">
        <f t="shared" ref="W38:AC38" si="31">+W37/W31</f>
        <v>0.49016876881525329</v>
      </c>
      <c r="X38" s="30">
        <f t="shared" si="31"/>
        <v>0.53394239975880953</v>
      </c>
      <c r="Y38" s="30">
        <f t="shared" si="31"/>
        <v>0.59708335596904893</v>
      </c>
      <c r="Z38" s="30">
        <f t="shared" si="31"/>
        <v>0.47831344328480235</v>
      </c>
      <c r="AA38" s="30">
        <f t="shared" si="31"/>
        <v>0.60538675281699239</v>
      </c>
      <c r="AB38" s="30">
        <f t="shared" si="31"/>
        <v>0.64189633592838824</v>
      </c>
      <c r="AC38" s="30">
        <f t="shared" si="31"/>
        <v>0.59780867446462227</v>
      </c>
      <c r="BB38" s="88" t="s">
        <v>75</v>
      </c>
    </row>
    <row r="39" spans="1:57" s="25" customFormat="1" x14ac:dyDescent="0.2">
      <c r="B39" s="22" t="s">
        <v>135</v>
      </c>
      <c r="C39" s="45" t="s">
        <v>187</v>
      </c>
      <c r="D39" s="19"/>
      <c r="E39" s="11"/>
      <c r="F39" s="11"/>
      <c r="G39" s="11">
        <f t="shared" ref="G39:H41" si="32">+SUMIFS(39:39,$6:$6,G$3)</f>
        <v>6.3111256786507681</v>
      </c>
      <c r="H39" s="11">
        <f t="shared" si="32"/>
        <v>8.7674743400000015</v>
      </c>
      <c r="I39" s="1"/>
      <c r="J39" s="1"/>
      <c r="K39" s="1"/>
      <c r="L39" s="1"/>
      <c r="M39" s="1"/>
      <c r="N39" s="1"/>
      <c r="O39" s="1"/>
      <c r="V39" s="12">
        <v>1.5041450600000001</v>
      </c>
      <c r="W39" s="12">
        <v>1.4069806186507681</v>
      </c>
      <c r="X39" s="12">
        <v>2</v>
      </c>
      <c r="Y39" s="12">
        <v>1.4</v>
      </c>
      <c r="Z39" s="12">
        <v>3.4511787000000003</v>
      </c>
      <c r="AA39" s="12">
        <v>1.8344470300000002</v>
      </c>
      <c r="AB39" s="12">
        <v>0</v>
      </c>
      <c r="AC39" s="12">
        <v>3.481848610000001</v>
      </c>
      <c r="BB39" s="88" t="s">
        <v>75</v>
      </c>
    </row>
    <row r="40" spans="1:57" x14ac:dyDescent="0.2">
      <c r="B40" s="33" t="s">
        <v>142</v>
      </c>
      <c r="C40" s="45" t="s">
        <v>187</v>
      </c>
      <c r="D40" s="26"/>
      <c r="E40" s="11"/>
      <c r="F40" s="11"/>
      <c r="G40" s="11">
        <f t="shared" si="32"/>
        <v>-7.571113889063362</v>
      </c>
      <c r="H40" s="11">
        <f t="shared" si="32"/>
        <v>0</v>
      </c>
      <c r="R40" s="25"/>
      <c r="S40" s="25"/>
      <c r="T40" s="25"/>
      <c r="U40" s="25"/>
      <c r="V40" s="12">
        <v>1.611992839669421</v>
      </c>
      <c r="W40" s="12">
        <v>-5.3743589038292061</v>
      </c>
      <c r="X40" s="12">
        <v>-1.5969695813774081</v>
      </c>
      <c r="Y40" s="12">
        <v>-2.2117782435261688</v>
      </c>
      <c r="Z40" s="12">
        <v>0</v>
      </c>
      <c r="AA40" s="12">
        <v>0</v>
      </c>
      <c r="AB40" s="12">
        <v>0</v>
      </c>
      <c r="AC40" s="12">
        <v>0</v>
      </c>
      <c r="BB40" s="8" t="s">
        <v>75</v>
      </c>
    </row>
    <row r="41" spans="1:57" s="2" customFormat="1" x14ac:dyDescent="0.2">
      <c r="B41" s="18" t="s">
        <v>4</v>
      </c>
      <c r="C41" s="81" t="s">
        <v>187</v>
      </c>
      <c r="E41" s="13"/>
      <c r="F41" s="13"/>
      <c r="G41" s="13">
        <f t="shared" si="32"/>
        <v>82.688419599587434</v>
      </c>
      <c r="H41" s="13">
        <f t="shared" si="32"/>
        <v>139.65782273999997</v>
      </c>
      <c r="I41" s="13">
        <f t="shared" ref="I41:N41" ca="1" si="33">+SUMIFS(41:41,$6:$6,I$3)</f>
        <v>164.12833820598229</v>
      </c>
      <c r="J41" s="13">
        <f t="shared" ca="1" si="33"/>
        <v>167.21905420948434</v>
      </c>
      <c r="K41" s="13">
        <f t="shared" ca="1" si="33"/>
        <v>171.31960063442804</v>
      </c>
      <c r="L41" s="13">
        <f t="shared" ca="1" si="33"/>
        <v>175.50610978212171</v>
      </c>
      <c r="M41" s="13">
        <f t="shared" ca="1" si="33"/>
        <v>179.77966169506908</v>
      </c>
      <c r="N41" s="13">
        <f t="shared" ca="1" si="33"/>
        <v>184.1413081882672</v>
      </c>
      <c r="P41" s="131">
        <f ca="1">+(N41/I41)^(1/5)-1</f>
        <v>2.3277748535733611E-2</v>
      </c>
      <c r="R41" s="32"/>
      <c r="S41" s="32"/>
      <c r="T41" s="32"/>
      <c r="U41" s="32"/>
      <c r="V41" s="24">
        <f>+V37+V39+V40</f>
        <v>13.088755149669421</v>
      </c>
      <c r="W41" s="24">
        <f t="shared" ref="W41:AC41" si="34">+W37+W39+W40</f>
        <v>12.302830184821568</v>
      </c>
      <c r="X41" s="24">
        <f t="shared" si="34"/>
        <v>16.778130398622583</v>
      </c>
      <c r="Y41" s="24">
        <f t="shared" si="34"/>
        <v>40.518703866473849</v>
      </c>
      <c r="Z41" s="24">
        <f t="shared" si="34"/>
        <v>26.237870530000002</v>
      </c>
      <c r="AA41" s="24">
        <f t="shared" si="34"/>
        <v>32.672495949999991</v>
      </c>
      <c r="AB41" s="24">
        <f t="shared" si="34"/>
        <v>38.575260729999961</v>
      </c>
      <c r="AC41" s="24">
        <f t="shared" si="34"/>
        <v>42.17219553000001</v>
      </c>
      <c r="AD41" s="114">
        <f ca="1">+AD58*AD$9</f>
        <v>39.796383548506554</v>
      </c>
      <c r="AE41" s="24">
        <f ca="1">+AE58*AE$9</f>
        <v>44.297181265155629</v>
      </c>
      <c r="AF41" s="24">
        <f t="shared" ref="AF41:BA41" ca="1" si="35">+AF58*AF$9</f>
        <v>38.720405098754171</v>
      </c>
      <c r="AG41" s="24">
        <f t="shared" ca="1" si="35"/>
        <v>41.314368293565927</v>
      </c>
      <c r="AH41" s="24">
        <f t="shared" ca="1" si="35"/>
        <v>39.797286487059253</v>
      </c>
      <c r="AI41" s="24">
        <f t="shared" ca="1" si="35"/>
        <v>45.442532150538788</v>
      </c>
      <c r="AJ41" s="24">
        <f t="shared" ca="1" si="35"/>
        <v>39.640172644920831</v>
      </c>
      <c r="AK41" s="24">
        <f t="shared" ca="1" si="35"/>
        <v>42.339062926965468</v>
      </c>
      <c r="AL41" s="24">
        <f t="shared" ca="1" si="35"/>
        <v>40.741219658500384</v>
      </c>
      <c r="AM41" s="24">
        <f t="shared" ca="1" si="35"/>
        <v>46.614818286034215</v>
      </c>
      <c r="AN41" s="24">
        <f t="shared" ca="1" si="35"/>
        <v>40.5777504841612</v>
      </c>
      <c r="AO41" s="24">
        <f t="shared" ca="1" si="35"/>
        <v>43.38581220573225</v>
      </c>
      <c r="AP41" s="24">
        <f t="shared" ca="1" si="35"/>
        <v>41.703358791746567</v>
      </c>
      <c r="AQ41" s="24">
        <f t="shared" ca="1" si="35"/>
        <v>47.814547373060364</v>
      </c>
      <c r="AR41" s="24">
        <f t="shared" ca="1" si="35"/>
        <v>41.533277208892862</v>
      </c>
      <c r="AS41" s="24">
        <f t="shared" ca="1" si="35"/>
        <v>44.454926408421933</v>
      </c>
      <c r="AT41" s="24">
        <f t="shared" ca="1" si="35"/>
        <v>42.683841028929166</v>
      </c>
      <c r="AU41" s="24">
        <f t="shared" ca="1" si="35"/>
        <v>49.042230194526766</v>
      </c>
      <c r="AV41" s="24">
        <f t="shared" ca="1" si="35"/>
        <v>42.506879562383759</v>
      </c>
      <c r="AW41" s="24">
        <f t="shared" ca="1" si="35"/>
        <v>45.546710909229382</v>
      </c>
      <c r="AX41" s="24">
        <f t="shared" ca="1" si="35"/>
        <v>43.682791080706885</v>
      </c>
      <c r="AY41" s="24">
        <f t="shared" ca="1" si="35"/>
        <v>50.29838021582362</v>
      </c>
      <c r="AZ41" s="24">
        <f t="shared" ca="1" si="35"/>
        <v>43.498671435790172</v>
      </c>
      <c r="BA41" s="24">
        <f t="shared" ca="1" si="35"/>
        <v>46.661465455946548</v>
      </c>
      <c r="BB41" s="83" t="s">
        <v>75</v>
      </c>
    </row>
    <row r="42" spans="1:57" s="25" customFormat="1" x14ac:dyDescent="0.2">
      <c r="B42" s="26" t="s">
        <v>141</v>
      </c>
      <c r="C42" s="116" t="s">
        <v>177</v>
      </c>
      <c r="D42" s="26"/>
      <c r="E42" s="27"/>
      <c r="F42" s="27"/>
      <c r="G42" s="30">
        <f t="shared" ref="G42:N42" si="36">+G41/G31</f>
        <v>0.51158103054032322</v>
      </c>
      <c r="H42" s="30">
        <f t="shared" si="36"/>
        <v>0.6251605084789239</v>
      </c>
      <c r="I42" s="30">
        <f t="shared" ca="1" si="36"/>
        <v>0.66328050868756738</v>
      </c>
      <c r="J42" s="30">
        <f t="shared" ca="1" si="36"/>
        <v>0.65608816081854859</v>
      </c>
      <c r="K42" s="30">
        <f t="shared" ca="1" si="36"/>
        <v>0.65259879393121145</v>
      </c>
      <c r="L42" s="30">
        <f t="shared" ca="1" si="36"/>
        <v>0.64907402354830579</v>
      </c>
      <c r="M42" s="30">
        <f t="shared" ca="1" si="36"/>
        <v>0.64551349046211881</v>
      </c>
      <c r="N42" s="30">
        <f t="shared" ca="1" si="36"/>
        <v>0.64191683182037718</v>
      </c>
      <c r="V42" s="30">
        <f>+V41/V31</f>
        <v>0.45843265882641399</v>
      </c>
      <c r="W42" s="30">
        <f t="shared" ref="W42:BA42" si="37">+W41/W31</f>
        <v>0.37064449025078294</v>
      </c>
      <c r="X42" s="30">
        <f t="shared" si="37"/>
        <v>0.54708400067471086</v>
      </c>
      <c r="Y42" s="30">
        <f t="shared" si="37"/>
        <v>0.58535595156429865</v>
      </c>
      <c r="Z42" s="30">
        <f t="shared" si="37"/>
        <v>0.55075683171975132</v>
      </c>
      <c r="AA42" s="30">
        <f t="shared" si="37"/>
        <v>0.64139908075600904</v>
      </c>
      <c r="AB42" s="30">
        <f t="shared" si="37"/>
        <v>0.64189633592838824</v>
      </c>
      <c r="AC42" s="30">
        <f t="shared" si="37"/>
        <v>0.65160708848594029</v>
      </c>
      <c r="AD42" s="30">
        <f t="shared" ca="1" si="37"/>
        <v>0.64330549647926338</v>
      </c>
      <c r="AE42" s="30">
        <f t="shared" ca="1" si="37"/>
        <v>0.71606054735298319</v>
      </c>
      <c r="AF42" s="30">
        <f t="shared" ca="1" si="37"/>
        <v>0.62591238712862929</v>
      </c>
      <c r="AG42" s="30">
        <f t="shared" ca="1" si="37"/>
        <v>0.66784360378939378</v>
      </c>
      <c r="AH42" s="30">
        <f t="shared" ca="1" si="37"/>
        <v>0.62458261399214743</v>
      </c>
      <c r="AI42" s="30">
        <f t="shared" ca="1" si="37"/>
        <v>0.71317966681559541</v>
      </c>
      <c r="AJ42" s="30">
        <f t="shared" ca="1" si="37"/>
        <v>0.62211685356275048</v>
      </c>
      <c r="AK42" s="30">
        <f t="shared" ca="1" si="37"/>
        <v>0.66447350890370127</v>
      </c>
      <c r="AL42" s="30">
        <f t="shared" ca="1" si="37"/>
        <v>0.62077358840354213</v>
      </c>
      <c r="AM42" s="30">
        <f t="shared" ca="1" si="37"/>
        <v>0.71026955655125923</v>
      </c>
      <c r="AN42" s="30">
        <f t="shared" ca="1" si="37"/>
        <v>0.61828281010091646</v>
      </c>
      <c r="AO42" s="30">
        <f t="shared" ca="1" si="37"/>
        <v>0.66106922066912799</v>
      </c>
      <c r="AP42" s="30">
        <f t="shared" ca="1" si="37"/>
        <v>0.61692591602745339</v>
      </c>
      <c r="AQ42" s="30">
        <f t="shared" ca="1" si="37"/>
        <v>0.70732991999198946</v>
      </c>
      <c r="AR42" s="30">
        <f t="shared" ca="1" si="37"/>
        <v>0.61440986601753933</v>
      </c>
      <c r="AS42" s="30">
        <f t="shared" ca="1" si="37"/>
        <v>0.65763039215624131</v>
      </c>
      <c r="AT42" s="30">
        <f t="shared" ca="1" si="37"/>
        <v>0.61303920474937623</v>
      </c>
      <c r="AU42" s="30">
        <f t="shared" ca="1" si="37"/>
        <v>0.70436045756078924</v>
      </c>
      <c r="AV42" s="30">
        <f t="shared" ca="1" si="37"/>
        <v>0.61049762662268525</v>
      </c>
      <c r="AW42" s="30">
        <f t="shared" ca="1" si="37"/>
        <v>0.65415667291562429</v>
      </c>
      <c r="AX42" s="30">
        <f t="shared" ca="1" si="37"/>
        <v>0.60911305847636943</v>
      </c>
      <c r="AY42" s="30">
        <f t="shared" ca="1" si="37"/>
        <v>0.70136086664112152</v>
      </c>
      <c r="AZ42" s="30">
        <f t="shared" ca="1" si="37"/>
        <v>0.60654569322185536</v>
      </c>
      <c r="BA42" s="30">
        <f t="shared" ca="1" si="37"/>
        <v>0.65064770894216239</v>
      </c>
      <c r="BB42" s="88" t="s">
        <v>75</v>
      </c>
    </row>
    <row r="43" spans="1:57" x14ac:dyDescent="0.2">
      <c r="E43" s="11"/>
      <c r="F43" s="11"/>
      <c r="G43" s="11"/>
      <c r="H43" s="11"/>
      <c r="I43" s="11"/>
      <c r="J43" s="11"/>
      <c r="K43" s="11"/>
      <c r="L43" s="11"/>
      <c r="M43" s="11"/>
      <c r="N43" s="11"/>
      <c r="R43" s="25"/>
      <c r="S43" s="25"/>
      <c r="T43" s="25"/>
      <c r="U43" s="25"/>
      <c r="V43" s="12"/>
      <c r="W43" s="12"/>
      <c r="X43" s="12"/>
      <c r="Y43" s="12"/>
      <c r="Z43" s="12"/>
      <c r="AA43" s="12"/>
      <c r="AB43" s="12"/>
      <c r="AC43" s="12"/>
      <c r="BB43" s="8" t="s">
        <v>75</v>
      </c>
    </row>
    <row r="44" spans="1:57" x14ac:dyDescent="0.2">
      <c r="B44" s="1" t="s">
        <v>399</v>
      </c>
      <c r="C44" s="45" t="s">
        <v>187</v>
      </c>
      <c r="E44" s="11"/>
      <c r="F44" s="11"/>
      <c r="G44" s="13">
        <f t="shared" ref="G44:N44" ca="1" si="38">+SUMIFS(44:44,$6:$6,G$3)</f>
        <v>160.05817591761911</v>
      </c>
      <c r="H44" s="13">
        <f t="shared" ca="1" si="38"/>
        <v>223.2331318625931</v>
      </c>
      <c r="I44" s="13">
        <f t="shared" ca="1" si="38"/>
        <v>247.44936125251576</v>
      </c>
      <c r="J44" s="13">
        <f t="shared" ca="1" si="38"/>
        <v>254.87284209009127</v>
      </c>
      <c r="K44" s="13">
        <f t="shared" ca="1" si="38"/>
        <v>262.51902735279396</v>
      </c>
      <c r="L44" s="13">
        <f t="shared" ca="1" si="38"/>
        <v>270.3945981733778</v>
      </c>
      <c r="M44" s="13">
        <f t="shared" ca="1" si="38"/>
        <v>278.50643611857907</v>
      </c>
      <c r="N44" s="13">
        <f t="shared" ca="1" si="38"/>
        <v>286.86162920213644</v>
      </c>
      <c r="R44" s="25"/>
      <c r="S44" s="25"/>
      <c r="T44" s="25"/>
      <c r="U44" s="25"/>
      <c r="V44" s="23">
        <f t="shared" ref="V44:AC44" ca="1" si="39">+V62*V$9</f>
        <v>29.903053244430563</v>
      </c>
      <c r="W44" s="23">
        <f t="shared" ca="1" si="39"/>
        <v>33.382113879711028</v>
      </c>
      <c r="X44" s="23">
        <f t="shared" ca="1" si="39"/>
        <v>30.4490769541448</v>
      </c>
      <c r="Y44" s="23">
        <f t="shared" ca="1" si="39"/>
        <v>66.323931839332701</v>
      </c>
      <c r="Z44" s="23">
        <f t="shared" ca="1" si="39"/>
        <v>54.944546085328717</v>
      </c>
      <c r="AA44" s="23">
        <f t="shared" ca="1" si="39"/>
        <v>48.789511381202146</v>
      </c>
      <c r="AB44" s="23">
        <f t="shared" ca="1" si="39"/>
        <v>57.618106627322767</v>
      </c>
      <c r="AC44" s="23">
        <f t="shared" ca="1" si="39"/>
        <v>61.880967768739474</v>
      </c>
      <c r="AD44" s="23">
        <f ca="1">+AD62*AD$9</f>
        <v>61.862340313128932</v>
      </c>
      <c r="AE44" s="23">
        <f t="shared" ref="AE44:BA44" ca="1" si="40">+AE62*AE$9</f>
        <v>61.862340313128939</v>
      </c>
      <c r="AF44" s="23">
        <f t="shared" ca="1" si="40"/>
        <v>61.862340313128939</v>
      </c>
      <c r="AG44" s="23">
        <f t="shared" ca="1" si="40"/>
        <v>61.862340313128939</v>
      </c>
      <c r="AH44" s="23">
        <f t="shared" ca="1" si="40"/>
        <v>63.718210522522817</v>
      </c>
      <c r="AI44" s="23">
        <f t="shared" ca="1" si="40"/>
        <v>63.718210522522817</v>
      </c>
      <c r="AJ44" s="23">
        <f t="shared" ca="1" si="40"/>
        <v>63.718210522522817</v>
      </c>
      <c r="AK44" s="23">
        <f t="shared" ca="1" si="40"/>
        <v>63.718210522522803</v>
      </c>
      <c r="AL44" s="23">
        <f t="shared" ca="1" si="40"/>
        <v>65.629756838198489</v>
      </c>
      <c r="AM44" s="23">
        <f t="shared" ca="1" si="40"/>
        <v>65.629756838198489</v>
      </c>
      <c r="AN44" s="23">
        <f t="shared" ca="1" si="40"/>
        <v>65.629756838198489</v>
      </c>
      <c r="AO44" s="23">
        <f t="shared" ca="1" si="40"/>
        <v>65.629756838198489</v>
      </c>
      <c r="AP44" s="23">
        <f t="shared" ca="1" si="40"/>
        <v>67.59864954334445</v>
      </c>
      <c r="AQ44" s="23">
        <f t="shared" ca="1" si="40"/>
        <v>67.59864954334445</v>
      </c>
      <c r="AR44" s="23">
        <f t="shared" ca="1" si="40"/>
        <v>67.59864954334445</v>
      </c>
      <c r="AS44" s="23">
        <f t="shared" ca="1" si="40"/>
        <v>67.59864954334445</v>
      </c>
      <c r="AT44" s="23">
        <f t="shared" ca="1" si="40"/>
        <v>69.626609029644769</v>
      </c>
      <c r="AU44" s="23">
        <f t="shared" ca="1" si="40"/>
        <v>69.626609029644769</v>
      </c>
      <c r="AV44" s="23">
        <f t="shared" ca="1" si="40"/>
        <v>69.626609029644769</v>
      </c>
      <c r="AW44" s="23">
        <f t="shared" ca="1" si="40"/>
        <v>69.626609029644769</v>
      </c>
      <c r="AX44" s="23">
        <f t="shared" ca="1" si="40"/>
        <v>71.71540730053411</v>
      </c>
      <c r="AY44" s="23">
        <f t="shared" ca="1" si="40"/>
        <v>71.71540730053411</v>
      </c>
      <c r="AZ44" s="23">
        <f t="shared" ca="1" si="40"/>
        <v>71.71540730053411</v>
      </c>
      <c r="BA44" s="23">
        <f t="shared" ca="1" si="40"/>
        <v>71.71540730053411</v>
      </c>
      <c r="BB44" s="8" t="s">
        <v>75</v>
      </c>
    </row>
    <row r="45" spans="1:57" x14ac:dyDescent="0.2">
      <c r="E45" s="11"/>
      <c r="F45" s="11"/>
      <c r="G45" s="11"/>
      <c r="H45" s="11"/>
      <c r="I45" s="11"/>
      <c r="J45" s="11"/>
      <c r="K45" s="11"/>
      <c r="L45" s="11"/>
      <c r="M45" s="11"/>
      <c r="N45" s="11"/>
      <c r="R45" s="25"/>
      <c r="S45" s="25"/>
      <c r="T45" s="25"/>
      <c r="U45" s="25"/>
      <c r="V45" s="12"/>
      <c r="W45" s="12"/>
      <c r="X45" s="12"/>
      <c r="Y45" s="12"/>
      <c r="Z45" s="12"/>
      <c r="AA45" s="12"/>
      <c r="AB45" s="12"/>
      <c r="AC45" s="12"/>
      <c r="BB45" s="8" t="s">
        <v>75</v>
      </c>
    </row>
    <row r="46" spans="1:57" s="35" customFormat="1" x14ac:dyDescent="0.2">
      <c r="A46" s="17" t="s">
        <v>75</v>
      </c>
      <c r="B46" s="36" t="s">
        <v>246</v>
      </c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37"/>
      <c r="P46" s="37"/>
      <c r="Q46" s="37"/>
      <c r="U46" s="37"/>
      <c r="V46" s="37"/>
      <c r="W46" s="37"/>
      <c r="X46" s="37"/>
      <c r="Y46" s="44"/>
      <c r="Z46" s="44"/>
      <c r="AA46" s="44"/>
      <c r="AB46" s="44"/>
      <c r="AC46" s="44"/>
      <c r="AD46" s="44"/>
      <c r="AE46" s="44"/>
      <c r="AF46" s="44"/>
      <c r="BB46" s="90" t="s">
        <v>75</v>
      </c>
      <c r="BE46" s="90"/>
    </row>
    <row r="47" spans="1:57" x14ac:dyDescent="0.2">
      <c r="B47" s="2" t="s">
        <v>132</v>
      </c>
      <c r="C47" s="45" t="s">
        <v>164</v>
      </c>
      <c r="D47" s="2"/>
      <c r="E47" s="11"/>
      <c r="F47" s="11"/>
      <c r="G47" s="13">
        <f t="shared" ref="G47:N48" ca="1" si="41">+SUMIFS(47:47,$6:$6,G$3)</f>
        <v>38.982022825206393</v>
      </c>
      <c r="H47" s="13">
        <f t="shared" ca="1" si="41"/>
        <v>41.518425867231493</v>
      </c>
      <c r="I47" s="13">
        <f t="shared" ca="1" si="41"/>
        <v>44.196627127538093</v>
      </c>
      <c r="J47" s="13">
        <f t="shared" ca="1" si="41"/>
        <v>44.161514098988626</v>
      </c>
      <c r="K47" s="13">
        <f t="shared" ca="1" si="41"/>
        <v>44.5923059992191</v>
      </c>
      <c r="L47" s="13">
        <f t="shared" ca="1" si="41"/>
        <v>45.027300238637693</v>
      </c>
      <c r="M47" s="13">
        <f t="shared" ca="1" si="41"/>
        <v>45.466537810713938</v>
      </c>
      <c r="N47" s="13">
        <f t="shared" ca="1" si="41"/>
        <v>45.910060108805311</v>
      </c>
      <c r="P47" s="97">
        <f ca="1">+(N47/I47)^(1/5)-1</f>
        <v>7.6361660757755523E-3</v>
      </c>
      <c r="R47" s="25"/>
      <c r="S47" s="25"/>
      <c r="T47" s="25"/>
      <c r="U47" s="25"/>
      <c r="V47" s="24">
        <f ca="1">+V48+V49</f>
        <v>7.1826812894454211</v>
      </c>
      <c r="W47" s="24">
        <f t="shared" ref="W47:BA47" ca="1" si="42">+W48+W49</f>
        <v>8.1054857781417304</v>
      </c>
      <c r="X47" s="24">
        <f t="shared" ca="1" si="42"/>
        <v>7.2170861829992301</v>
      </c>
      <c r="Y47" s="24">
        <f t="shared" ca="1" si="42"/>
        <v>16.476769574620011</v>
      </c>
      <c r="Z47" s="24">
        <f t="shared" ca="1" si="42"/>
        <v>9.8799345910897305</v>
      </c>
      <c r="AA47" s="24">
        <f t="shared" ca="1" si="42"/>
        <v>9.1177357816104649</v>
      </c>
      <c r="AB47" s="24">
        <f t="shared" ca="1" si="42"/>
        <v>11.169867902353657</v>
      </c>
      <c r="AC47" s="24">
        <f t="shared" ca="1" si="42"/>
        <v>11.350887592177642</v>
      </c>
      <c r="AD47" s="24">
        <f t="shared" ca="1" si="42"/>
        <v>11.476990945413753</v>
      </c>
      <c r="AE47" s="24">
        <f t="shared" ca="1" si="42"/>
        <v>10.960716828880127</v>
      </c>
      <c r="AF47" s="24">
        <f t="shared" ca="1" si="42"/>
        <v>10.906455854479729</v>
      </c>
      <c r="AG47" s="24">
        <f t="shared" ca="1" si="42"/>
        <v>10.852463498764482</v>
      </c>
      <c r="AH47" s="24">
        <f t="shared" ca="1" si="42"/>
        <v>11.122700584897082</v>
      </c>
      <c r="AI47" s="24">
        <f t="shared" ca="1" si="42"/>
        <v>11.067637710714422</v>
      </c>
      <c r="AJ47" s="24">
        <f t="shared" ca="1" si="42"/>
        <v>11.012847425017815</v>
      </c>
      <c r="AK47" s="24">
        <f t="shared" ca="1" si="42"/>
        <v>10.958328378359306</v>
      </c>
      <c r="AL47" s="24">
        <f t="shared" ca="1" si="42"/>
        <v>11.231201604810531</v>
      </c>
      <c r="AM47" s="24">
        <f t="shared" ca="1" si="42"/>
        <v>11.175601596865922</v>
      </c>
      <c r="AN47" s="24">
        <f t="shared" ca="1" si="42"/>
        <v>11.120276836485397</v>
      </c>
      <c r="AO47" s="24">
        <f t="shared" ca="1" si="42"/>
        <v>11.06522596105725</v>
      </c>
      <c r="AP47" s="24">
        <f t="shared" ca="1" si="42"/>
        <v>11.340761043156846</v>
      </c>
      <c r="AQ47" s="24">
        <f t="shared" ca="1" si="42"/>
        <v>11.284618661755077</v>
      </c>
      <c r="AR47" s="24">
        <f t="shared" ca="1" si="42"/>
        <v>11.228754212934508</v>
      </c>
      <c r="AS47" s="24">
        <f t="shared" ca="1" si="42"/>
        <v>11.173166320791264</v>
      </c>
      <c r="AT47" s="24">
        <f t="shared" ca="1" si="42"/>
        <v>11.451389224719875</v>
      </c>
      <c r="AU47" s="24">
        <f t="shared" ca="1" si="42"/>
        <v>11.394699179052942</v>
      </c>
      <c r="AV47" s="24">
        <f t="shared" ca="1" si="42"/>
        <v>11.338289777176442</v>
      </c>
      <c r="AW47" s="24">
        <f t="shared" ca="1" si="42"/>
        <v>11.282159629764676</v>
      </c>
      <c r="AX47" s="24">
        <f t="shared" ca="1" si="42"/>
        <v>11.563096575000895</v>
      </c>
      <c r="AY47" s="24">
        <f t="shared" ca="1" si="42"/>
        <v>11.505853522649401</v>
      </c>
      <c r="AZ47" s="24">
        <f t="shared" ca="1" si="42"/>
        <v>11.448893851745197</v>
      </c>
      <c r="BA47" s="24">
        <f t="shared" ca="1" si="42"/>
        <v>11.392216159409822</v>
      </c>
      <c r="BB47" s="8" t="s">
        <v>75</v>
      </c>
    </row>
    <row r="48" spans="1:57" x14ac:dyDescent="0.2">
      <c r="B48" s="19" t="s">
        <v>133</v>
      </c>
      <c r="C48" s="45" t="s">
        <v>164</v>
      </c>
      <c r="D48" s="19"/>
      <c r="E48" s="11"/>
      <c r="F48" s="11"/>
      <c r="G48" s="11">
        <f t="shared" ca="1" si="41"/>
        <v>40.583864179273178</v>
      </c>
      <c r="H48" s="11">
        <f t="shared" ca="1" si="41"/>
        <v>43.276059216278341</v>
      </c>
      <c r="I48" s="11">
        <f t="shared" ca="1" si="41"/>
        <v>44.196627127538093</v>
      </c>
      <c r="J48" s="11">
        <f t="shared" ca="1" si="41"/>
        <v>44.161514098988626</v>
      </c>
      <c r="K48" s="11">
        <f t="shared" ca="1" si="41"/>
        <v>44.5923059992191</v>
      </c>
      <c r="L48" s="11">
        <f t="shared" ca="1" si="41"/>
        <v>45.027300238637693</v>
      </c>
      <c r="M48" s="11">
        <f t="shared" ca="1" si="41"/>
        <v>45.466537810713938</v>
      </c>
      <c r="N48" s="11">
        <f t="shared" ca="1" si="41"/>
        <v>45.910060108805311</v>
      </c>
      <c r="P48" s="97">
        <f ca="1">+(N48/I48)^(1/5)-1</f>
        <v>7.6361660757755523E-3</v>
      </c>
      <c r="R48" s="25"/>
      <c r="S48" s="25"/>
      <c r="T48" s="25"/>
      <c r="U48" s="25"/>
      <c r="V48" s="23">
        <f ca="1">+V31/V$9</f>
        <v>7.5821272138086018</v>
      </c>
      <c r="W48" s="23">
        <f t="shared" ref="W48:AC48" ca="1" si="43">+W31/W$9</f>
        <v>8.4642672449829526</v>
      </c>
      <c r="X48" s="23">
        <f t="shared" ca="1" si="43"/>
        <v>7.7205753246074584</v>
      </c>
      <c r="Y48" s="23">
        <f t="shared" ca="1" si="43"/>
        <v>16.816894395874169</v>
      </c>
      <c r="Z48" s="23">
        <f t="shared" ca="1" si="43"/>
        <v>10.651570446378987</v>
      </c>
      <c r="AA48" s="23">
        <f t="shared" ca="1" si="43"/>
        <v>9.4583530950317609</v>
      </c>
      <c r="AB48" s="23">
        <f t="shared" ca="1" si="43"/>
        <v>11.169867902353657</v>
      </c>
      <c r="AC48" s="23">
        <f t="shared" ca="1" si="43"/>
        <v>11.996267772513942</v>
      </c>
      <c r="AD48" s="106">
        <f ca="1">+AD62</f>
        <v>11.476990945413753</v>
      </c>
      <c r="AE48" s="23">
        <f t="shared" ref="AE48:BA48" ca="1" si="44">+AE62</f>
        <v>10.960716828880127</v>
      </c>
      <c r="AF48" s="23">
        <f t="shared" ca="1" si="44"/>
        <v>10.906455854479729</v>
      </c>
      <c r="AG48" s="23">
        <f t="shared" ca="1" si="44"/>
        <v>10.852463498764482</v>
      </c>
      <c r="AH48" s="23">
        <f t="shared" ca="1" si="44"/>
        <v>11.122700584897082</v>
      </c>
      <c r="AI48" s="23">
        <f t="shared" ca="1" si="44"/>
        <v>11.067637710714422</v>
      </c>
      <c r="AJ48" s="23">
        <f t="shared" ca="1" si="44"/>
        <v>11.012847425017815</v>
      </c>
      <c r="AK48" s="23">
        <f t="shared" ca="1" si="44"/>
        <v>10.958328378359306</v>
      </c>
      <c r="AL48" s="23">
        <f t="shared" ca="1" si="44"/>
        <v>11.231201604810531</v>
      </c>
      <c r="AM48" s="23">
        <f t="shared" ca="1" si="44"/>
        <v>11.175601596865922</v>
      </c>
      <c r="AN48" s="23">
        <f t="shared" ca="1" si="44"/>
        <v>11.120276836485397</v>
      </c>
      <c r="AO48" s="23">
        <f t="shared" ca="1" si="44"/>
        <v>11.06522596105725</v>
      </c>
      <c r="AP48" s="23">
        <f t="shared" ca="1" si="44"/>
        <v>11.340761043156846</v>
      </c>
      <c r="AQ48" s="23">
        <f t="shared" ca="1" si="44"/>
        <v>11.284618661755077</v>
      </c>
      <c r="AR48" s="23">
        <f t="shared" ca="1" si="44"/>
        <v>11.228754212934508</v>
      </c>
      <c r="AS48" s="23">
        <f t="shared" ca="1" si="44"/>
        <v>11.173166320791264</v>
      </c>
      <c r="AT48" s="23">
        <f t="shared" ca="1" si="44"/>
        <v>11.451389224719875</v>
      </c>
      <c r="AU48" s="23">
        <f t="shared" ca="1" si="44"/>
        <v>11.394699179052942</v>
      </c>
      <c r="AV48" s="23">
        <f t="shared" ca="1" si="44"/>
        <v>11.338289777176442</v>
      </c>
      <c r="AW48" s="23">
        <f t="shared" ca="1" si="44"/>
        <v>11.282159629764676</v>
      </c>
      <c r="AX48" s="23">
        <f t="shared" ca="1" si="44"/>
        <v>11.563096575000895</v>
      </c>
      <c r="AY48" s="23">
        <f t="shared" ca="1" si="44"/>
        <v>11.505853522649401</v>
      </c>
      <c r="AZ48" s="23">
        <f t="shared" ca="1" si="44"/>
        <v>11.448893851745197</v>
      </c>
      <c r="BA48" s="23">
        <f t="shared" ca="1" si="44"/>
        <v>11.392216159409822</v>
      </c>
      <c r="BB48" s="8" t="s">
        <v>75</v>
      </c>
    </row>
    <row r="49" spans="1:57" x14ac:dyDescent="0.2">
      <c r="B49" s="19" t="s">
        <v>135</v>
      </c>
      <c r="C49" s="45" t="s">
        <v>164</v>
      </c>
      <c r="D49" s="19"/>
      <c r="E49" s="11"/>
      <c r="F49" s="11"/>
      <c r="G49" s="11">
        <f t="shared" ref="G49:N54" ca="1" si="45">+SUMIFS(49:49,$6:$6,G$3)</f>
        <v>-1.6018413540667895</v>
      </c>
      <c r="H49" s="11">
        <f t="shared" ca="1" si="45"/>
        <v>-1.7576333490468519</v>
      </c>
      <c r="I49" s="11"/>
      <c r="J49" s="11"/>
      <c r="K49" s="11"/>
      <c r="L49" s="11"/>
      <c r="M49" s="11"/>
      <c r="N49" s="11"/>
      <c r="P49" s="97"/>
      <c r="R49" s="25"/>
      <c r="S49" s="25"/>
      <c r="T49" s="25"/>
      <c r="U49" s="25"/>
      <c r="V49" s="23">
        <f t="shared" ref="V49:AC49" ca="1" si="46">+V32/V$9</f>
        <v>-0.39944592436318116</v>
      </c>
      <c r="W49" s="23">
        <f t="shared" ca="1" si="46"/>
        <v>-0.35878146684122303</v>
      </c>
      <c r="X49" s="23">
        <f t="shared" ca="1" si="46"/>
        <v>-0.50348914160822833</v>
      </c>
      <c r="Y49" s="23">
        <f t="shared" ca="1" si="46"/>
        <v>-0.34012482125415711</v>
      </c>
      <c r="Z49" s="23">
        <f t="shared" ca="1" si="46"/>
        <v>-0.7716358552892556</v>
      </c>
      <c r="AA49" s="23">
        <f t="shared" ca="1" si="46"/>
        <v>-0.34061731342129631</v>
      </c>
      <c r="AB49" s="23">
        <f t="shared" ca="1" si="46"/>
        <v>0</v>
      </c>
      <c r="AC49" s="23">
        <f t="shared" ca="1" si="46"/>
        <v>-0.64538018033629996</v>
      </c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8" t="s">
        <v>75</v>
      </c>
    </row>
    <row r="50" spans="1:57" x14ac:dyDescent="0.2">
      <c r="B50" s="2" t="s">
        <v>136</v>
      </c>
      <c r="C50" s="45" t="s">
        <v>164</v>
      </c>
      <c r="D50" s="2"/>
      <c r="E50" s="11"/>
      <c r="F50" s="11"/>
      <c r="G50" s="13">
        <f t="shared" ca="1" si="45"/>
        <v>-23.905908117612345</v>
      </c>
      <c r="H50" s="13">
        <f t="shared" ca="1" si="45"/>
        <v>-18.322096134295652</v>
      </c>
      <c r="R50" s="25"/>
      <c r="S50" s="25"/>
      <c r="T50" s="25"/>
      <c r="U50" s="25"/>
      <c r="V50" s="24">
        <f t="shared" ref="V50:AC50" ca="1" si="47">+V33/V$9</f>
        <v>-4.5381161631482421</v>
      </c>
      <c r="W50" s="24">
        <f t="shared" ca="1" si="47"/>
        <v>-5.3340452329824899</v>
      </c>
      <c r="X50" s="24">
        <f t="shared" ca="1" si="47"/>
        <v>-6.1564118175004445</v>
      </c>
      <c r="Y50" s="24">
        <f t="shared" ca="1" si="47"/>
        <v>-7.8773349039811684</v>
      </c>
      <c r="Z50" s="24">
        <f t="shared" ca="1" si="47"/>
        <v>-5.5767744183513761</v>
      </c>
      <c r="AA50" s="24">
        <f t="shared" ca="1" si="47"/>
        <v>-4.1281854337372907</v>
      </c>
      <c r="AB50" s="24">
        <f t="shared" ca="1" si="47"/>
        <v>-4.8487314768480294</v>
      </c>
      <c r="AC50" s="24">
        <f t="shared" ca="1" si="47"/>
        <v>-3.7684048053589545</v>
      </c>
      <c r="AD50" s="114">
        <f ca="1">+AD73</f>
        <v>-4.0937795871863489</v>
      </c>
      <c r="AE50" s="24">
        <f t="shared" ref="AE50:BA50" ca="1" si="48">+AE73</f>
        <v>-3.1121799370111676</v>
      </c>
      <c r="AF50" s="24">
        <f t="shared" ca="1" si="48"/>
        <v>-4.0799700354893078</v>
      </c>
      <c r="AG50" s="24">
        <f t="shared" ca="1" si="48"/>
        <v>-3.6047151657567569</v>
      </c>
      <c r="AH50" s="24">
        <f t="shared" ca="1" si="48"/>
        <v>-4.1756551789300751</v>
      </c>
      <c r="AI50" s="24">
        <f t="shared" ca="1" si="48"/>
        <v>-3.1744235357513912</v>
      </c>
      <c r="AJ50" s="24">
        <f t="shared" ca="1" si="48"/>
        <v>-4.1615694361990938</v>
      </c>
      <c r="AK50" s="24">
        <f t="shared" ca="1" si="48"/>
        <v>-3.676809469071892</v>
      </c>
      <c r="AL50" s="24">
        <f t="shared" ca="1" si="48"/>
        <v>-4.2591682825086767</v>
      </c>
      <c r="AM50" s="24">
        <f t="shared" ca="1" si="48"/>
        <v>-3.2379120064664191</v>
      </c>
      <c r="AN50" s="24">
        <f t="shared" ca="1" si="48"/>
        <v>-4.2448008249230762</v>
      </c>
      <c r="AO50" s="24">
        <f t="shared" ca="1" si="48"/>
        <v>-3.7503456584533295</v>
      </c>
      <c r="AP50" s="24">
        <f t="shared" ca="1" si="48"/>
        <v>-4.3443516481588507</v>
      </c>
      <c r="AQ50" s="24">
        <f t="shared" ca="1" si="48"/>
        <v>-3.3026702465957474</v>
      </c>
      <c r="AR50" s="24">
        <f t="shared" ca="1" si="48"/>
        <v>-4.3296968414215371</v>
      </c>
      <c r="AS50" s="24">
        <f t="shared" ca="1" si="48"/>
        <v>-3.8253525716223962</v>
      </c>
      <c r="AT50" s="24">
        <f t="shared" ca="1" si="48"/>
        <v>-4.4312386811220277</v>
      </c>
      <c r="AU50" s="24">
        <f t="shared" ca="1" si="48"/>
        <v>-3.3687236515276626</v>
      </c>
      <c r="AV50" s="24">
        <f t="shared" ca="1" si="48"/>
        <v>-4.4162907782499685</v>
      </c>
      <c r="AW50" s="24">
        <f t="shared" ca="1" si="48"/>
        <v>-3.9018596230548441</v>
      </c>
      <c r="AX50" s="24">
        <f t="shared" ca="1" si="48"/>
        <v>-4.5198634547444687</v>
      </c>
      <c r="AY50" s="24">
        <f t="shared" ca="1" si="48"/>
        <v>-3.4360981245582156</v>
      </c>
      <c r="AZ50" s="24">
        <f t="shared" ca="1" si="48"/>
        <v>-4.5046165938149683</v>
      </c>
      <c r="BA50" s="24">
        <f t="shared" ca="1" si="48"/>
        <v>-3.9798968155159411</v>
      </c>
      <c r="BB50" s="8" t="s">
        <v>75</v>
      </c>
    </row>
    <row r="51" spans="1:57" x14ac:dyDescent="0.2">
      <c r="B51" s="22" t="s">
        <v>137</v>
      </c>
      <c r="C51" s="45" t="s">
        <v>164</v>
      </c>
      <c r="D51" s="19"/>
      <c r="E51" s="11"/>
      <c r="F51" s="11"/>
      <c r="G51" s="11">
        <f t="shared" ca="1" si="45"/>
        <v>2.4156074454794729E-2</v>
      </c>
      <c r="H51" s="11">
        <f t="shared" ca="1" si="45"/>
        <v>-1.1039099303148099</v>
      </c>
      <c r="R51" s="25"/>
      <c r="S51" s="25"/>
      <c r="T51" s="25"/>
      <c r="U51" s="25"/>
      <c r="V51" s="23">
        <f t="shared" ref="V51:AC51" ca="1" si="49">+V34/V$9</f>
        <v>3.797336659986948E-3</v>
      </c>
      <c r="W51" s="23">
        <f t="shared" ca="1" si="49"/>
        <v>-2.5374568256570508E-2</v>
      </c>
      <c r="X51" s="23">
        <f t="shared" ca="1" si="49"/>
        <v>-3.4021159054889838E-2</v>
      </c>
      <c r="Y51" s="23">
        <f t="shared" ca="1" si="49"/>
        <v>7.975446510626813E-2</v>
      </c>
      <c r="Z51" s="23">
        <f t="shared" ca="1" si="49"/>
        <v>-2.6443302512098893E-2</v>
      </c>
      <c r="AA51" s="23">
        <f t="shared" ca="1" si="49"/>
        <v>-1.3871880487597743E-2</v>
      </c>
      <c r="AB51" s="23">
        <f t="shared" ca="1" si="49"/>
        <v>-4.1236779083300222E-2</v>
      </c>
      <c r="AC51" s="23">
        <f t="shared" ca="1" si="49"/>
        <v>-1.0223579682318131</v>
      </c>
      <c r="BB51" s="8" t="s">
        <v>75</v>
      </c>
    </row>
    <row r="52" spans="1:57" x14ac:dyDescent="0.2">
      <c r="B52" s="22" t="s">
        <v>138</v>
      </c>
      <c r="C52" s="45" t="s">
        <v>164</v>
      </c>
      <c r="D52" s="19"/>
      <c r="E52" s="11"/>
      <c r="F52" s="11"/>
      <c r="G52" s="11">
        <f t="shared" ca="1" si="45"/>
        <v>5.8604413945100884</v>
      </c>
      <c r="H52" s="11">
        <f t="shared" ca="1" si="45"/>
        <v>3.069701416109119</v>
      </c>
      <c r="R52" s="25"/>
      <c r="S52" s="25"/>
      <c r="T52" s="25"/>
      <c r="U52" s="25"/>
      <c r="V52" s="23">
        <f t="shared" ref="V52:AC52" ca="1" si="50">+V35/V$9</f>
        <v>0</v>
      </c>
      <c r="W52" s="23">
        <f t="shared" ca="1" si="50"/>
        <v>1.4028534774939001</v>
      </c>
      <c r="X52" s="23">
        <f t="shared" ca="1" si="50"/>
        <v>3.0956893098956599</v>
      </c>
      <c r="Y52" s="23">
        <f t="shared" ca="1" si="50"/>
        <v>1.3618986071205286</v>
      </c>
      <c r="Z52" s="23">
        <f t="shared" ca="1" si="50"/>
        <v>0.81807246637191733</v>
      </c>
      <c r="AA52" s="23">
        <f t="shared" ca="1" si="50"/>
        <v>0.75028319981225156</v>
      </c>
      <c r="AB52" s="23">
        <f t="shared" ca="1" si="50"/>
        <v>0.88999763290259737</v>
      </c>
      <c r="AC52" s="23">
        <f t="shared" ca="1" si="50"/>
        <v>0.61134811702235281</v>
      </c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8" t="s">
        <v>75</v>
      </c>
    </row>
    <row r="53" spans="1:57" x14ac:dyDescent="0.2">
      <c r="B53" s="1" t="s">
        <v>14</v>
      </c>
      <c r="C53" s="45" t="s">
        <v>164</v>
      </c>
      <c r="E53" s="11"/>
      <c r="F53" s="11"/>
      <c r="G53" s="11">
        <f t="shared" ca="1" si="45"/>
        <v>0</v>
      </c>
      <c r="H53" s="11">
        <f t="shared" ca="1" si="45"/>
        <v>0</v>
      </c>
      <c r="R53" s="25"/>
      <c r="S53" s="25"/>
      <c r="T53" s="25"/>
      <c r="U53" s="25"/>
      <c r="V53" s="23">
        <f t="shared" ref="V53:AC53" ca="1" si="51">+V36/V$9</f>
        <v>0</v>
      </c>
      <c r="W53" s="23">
        <f t="shared" ca="1" si="51"/>
        <v>0</v>
      </c>
      <c r="X53" s="23">
        <f t="shared" ca="1" si="51"/>
        <v>0</v>
      </c>
      <c r="Y53" s="23">
        <f t="shared" ca="1" si="51"/>
        <v>0</v>
      </c>
      <c r="Z53" s="23">
        <f t="shared" ca="1" si="51"/>
        <v>0</v>
      </c>
      <c r="AA53" s="23">
        <f t="shared" ca="1" si="51"/>
        <v>0</v>
      </c>
      <c r="AB53" s="23">
        <f t="shared" ca="1" si="51"/>
        <v>0</v>
      </c>
      <c r="AC53" s="23">
        <f t="shared" ca="1" si="51"/>
        <v>0</v>
      </c>
      <c r="BB53" s="8" t="s">
        <v>75</v>
      </c>
    </row>
    <row r="54" spans="1:57" s="2" customFormat="1" x14ac:dyDescent="0.2">
      <c r="B54" s="18" t="s">
        <v>140</v>
      </c>
      <c r="C54" s="45" t="s">
        <v>164</v>
      </c>
      <c r="E54" s="13"/>
      <c r="F54" s="13"/>
      <c r="G54" s="13">
        <f t="shared" ca="1" si="45"/>
        <v>20.960712176558928</v>
      </c>
      <c r="H54" s="13">
        <f t="shared" ca="1" si="45"/>
        <v>25.162121218730153</v>
      </c>
      <c r="I54" s="13">
        <f t="shared" ca="1" si="45"/>
        <v>29.305982402094507</v>
      </c>
      <c r="J54" s="13">
        <f t="shared" ca="1" si="45"/>
        <v>28.973056479036174</v>
      </c>
      <c r="K54" s="13">
        <f t="shared" ca="1" si="45"/>
        <v>29.100079226867599</v>
      </c>
      <c r="L54" s="13">
        <f t="shared" ca="1" si="45"/>
        <v>29.225228930839162</v>
      </c>
      <c r="M54" s="13">
        <f t="shared" ca="1" si="45"/>
        <v>29.34842507675943</v>
      </c>
      <c r="N54" s="13">
        <f t="shared" ca="1" si="45"/>
        <v>29.469585120171722</v>
      </c>
      <c r="R54" s="32"/>
      <c r="S54" s="32"/>
      <c r="T54" s="32"/>
      <c r="U54" s="32"/>
      <c r="V54" s="24">
        <f ca="1">+SUM(V50:V53,V47)</f>
        <v>2.6483624629571656</v>
      </c>
      <c r="W54" s="24">
        <f t="shared" ref="W54:BA54" ca="1" si="52">+SUM(W50:W53,W47)</f>
        <v>4.1489194543965695</v>
      </c>
      <c r="X54" s="24">
        <f t="shared" ca="1" si="52"/>
        <v>4.1223425163395557</v>
      </c>
      <c r="Y54" s="24">
        <f t="shared" ca="1" si="52"/>
        <v>10.04108774286564</v>
      </c>
      <c r="Z54" s="24">
        <f t="shared" ca="1" si="52"/>
        <v>5.0947893365981729</v>
      </c>
      <c r="AA54" s="24">
        <f t="shared" ca="1" si="52"/>
        <v>5.7259616671978284</v>
      </c>
      <c r="AB54" s="24">
        <f t="shared" ca="1" si="52"/>
        <v>7.1698972793249238</v>
      </c>
      <c r="AC54" s="24">
        <f t="shared" ca="1" si="52"/>
        <v>7.1714729356092279</v>
      </c>
      <c r="AD54" s="24">
        <f t="shared" ca="1" si="52"/>
        <v>7.3832113582274044</v>
      </c>
      <c r="AE54" s="24">
        <f t="shared" ca="1" si="52"/>
        <v>7.8485368918689593</v>
      </c>
      <c r="AF54" s="24">
        <f t="shared" ca="1" si="52"/>
        <v>6.8264858189904212</v>
      </c>
      <c r="AG54" s="24">
        <f t="shared" ca="1" si="52"/>
        <v>7.2477483330077259</v>
      </c>
      <c r="AH54" s="24">
        <f t="shared" ca="1" si="52"/>
        <v>6.9470454059670068</v>
      </c>
      <c r="AI54" s="24">
        <f t="shared" ca="1" si="52"/>
        <v>7.8932141749630311</v>
      </c>
      <c r="AJ54" s="24">
        <f t="shared" ca="1" si="52"/>
        <v>6.8512779888187216</v>
      </c>
      <c r="AK54" s="24">
        <f t="shared" ca="1" si="52"/>
        <v>7.2815189092874144</v>
      </c>
      <c r="AL54" s="24">
        <f t="shared" ca="1" si="52"/>
        <v>6.9720333223018542</v>
      </c>
      <c r="AM54" s="24">
        <f t="shared" ca="1" si="52"/>
        <v>7.9376895903995033</v>
      </c>
      <c r="AN54" s="24">
        <f t="shared" ca="1" si="52"/>
        <v>6.8754760115623208</v>
      </c>
      <c r="AO54" s="24">
        <f t="shared" ca="1" si="52"/>
        <v>7.3148803026039202</v>
      </c>
      <c r="AP54" s="24">
        <f t="shared" ca="1" si="52"/>
        <v>6.9964093949979951</v>
      </c>
      <c r="AQ54" s="24">
        <f t="shared" ca="1" si="52"/>
        <v>7.9819484151593301</v>
      </c>
      <c r="AR54" s="24">
        <f t="shared" ca="1" si="52"/>
        <v>6.8990573715129706</v>
      </c>
      <c r="AS54" s="24">
        <f t="shared" ca="1" si="52"/>
        <v>7.3478137491688678</v>
      </c>
      <c r="AT54" s="24">
        <f t="shared" ca="1" si="52"/>
        <v>7.0201505435978477</v>
      </c>
      <c r="AU54" s="24">
        <f t="shared" ca="1" si="52"/>
        <v>8.0259755275252793</v>
      </c>
      <c r="AV54" s="24">
        <f t="shared" ca="1" si="52"/>
        <v>6.9219989989264734</v>
      </c>
      <c r="AW54" s="24">
        <f t="shared" ca="1" si="52"/>
        <v>7.3803000067098319</v>
      </c>
      <c r="AX54" s="24">
        <f t="shared" ca="1" si="52"/>
        <v>7.043233120256426</v>
      </c>
      <c r="AY54" s="24">
        <f t="shared" ca="1" si="52"/>
        <v>8.0697553980911856</v>
      </c>
      <c r="AZ54" s="24">
        <f t="shared" ca="1" si="52"/>
        <v>6.9442772579302288</v>
      </c>
      <c r="BA54" s="24">
        <f t="shared" ca="1" si="52"/>
        <v>7.4123193438938806</v>
      </c>
      <c r="BB54" s="83" t="s">
        <v>75</v>
      </c>
    </row>
    <row r="55" spans="1:57" s="25" customFormat="1" x14ac:dyDescent="0.2">
      <c r="B55" s="26" t="s">
        <v>141</v>
      </c>
      <c r="C55" s="116" t="s">
        <v>177</v>
      </c>
      <c r="E55" s="27"/>
      <c r="F55" s="27"/>
      <c r="G55" s="30">
        <f ca="1">+G54/G48</f>
        <v>0.51647896523524972</v>
      </c>
      <c r="H55" s="30">
        <f ca="1">+H54/H48</f>
        <v>0.58143282162035193</v>
      </c>
      <c r="I55" s="30">
        <f t="shared" ref="I55:N55" ca="1" si="53">+I54/I48</f>
        <v>0.6630818754002723</v>
      </c>
      <c r="J55" s="30">
        <f t="shared" ca="1" si="53"/>
        <v>0.65607027001141038</v>
      </c>
      <c r="K55" s="30">
        <f t="shared" ca="1" si="53"/>
        <v>0.65258072160200009</v>
      </c>
      <c r="L55" s="30">
        <f t="shared" ca="1" si="53"/>
        <v>0.64905576785527874</v>
      </c>
      <c r="M55" s="30">
        <f t="shared" ca="1" si="53"/>
        <v>0.64549504954484649</v>
      </c>
      <c r="N55" s="30">
        <f t="shared" ca="1" si="53"/>
        <v>0.64189820379955476</v>
      </c>
      <c r="V55" s="30">
        <f ca="1">+V54/V48</f>
        <v>0.34929016465642476</v>
      </c>
      <c r="W55" s="30">
        <f t="shared" ref="W55:BA55" ca="1" si="54">+W54/W48</f>
        <v>0.49016876881525329</v>
      </c>
      <c r="X55" s="30">
        <f t="shared" ca="1" si="54"/>
        <v>0.53394239975880942</v>
      </c>
      <c r="Y55" s="30">
        <f t="shared" ca="1" si="54"/>
        <v>0.59708335596904893</v>
      </c>
      <c r="Z55" s="30">
        <f t="shared" ca="1" si="54"/>
        <v>0.47831344328480241</v>
      </c>
      <c r="AA55" s="30">
        <f t="shared" ca="1" si="54"/>
        <v>0.6053867528169925</v>
      </c>
      <c r="AB55" s="30">
        <f t="shared" ca="1" si="54"/>
        <v>0.64189633592838824</v>
      </c>
      <c r="AC55" s="30">
        <f t="shared" ca="1" si="54"/>
        <v>0.59780867446462238</v>
      </c>
      <c r="AD55" s="30">
        <f t="shared" ca="1" si="54"/>
        <v>0.64330549647926338</v>
      </c>
      <c r="AE55" s="30">
        <f t="shared" ca="1" si="54"/>
        <v>0.7160605473529833</v>
      </c>
      <c r="AF55" s="30">
        <f t="shared" ca="1" si="54"/>
        <v>0.62591238712862929</v>
      </c>
      <c r="AG55" s="30">
        <f t="shared" ca="1" si="54"/>
        <v>0.66784360378939389</v>
      </c>
      <c r="AH55" s="30">
        <f t="shared" ca="1" si="54"/>
        <v>0.62458261399214743</v>
      </c>
      <c r="AI55" s="30">
        <f t="shared" ca="1" si="54"/>
        <v>0.71317966681559541</v>
      </c>
      <c r="AJ55" s="30">
        <f t="shared" ca="1" si="54"/>
        <v>0.62211685356275048</v>
      </c>
      <c r="AK55" s="30">
        <f t="shared" ca="1" si="54"/>
        <v>0.66447350890370127</v>
      </c>
      <c r="AL55" s="30">
        <f t="shared" ca="1" si="54"/>
        <v>0.62077358840354213</v>
      </c>
      <c r="AM55" s="30">
        <f t="shared" ca="1" si="54"/>
        <v>0.71026955655125923</v>
      </c>
      <c r="AN55" s="30">
        <f t="shared" ca="1" si="54"/>
        <v>0.61828281010091646</v>
      </c>
      <c r="AO55" s="30">
        <f t="shared" ca="1" si="54"/>
        <v>0.6610692206691281</v>
      </c>
      <c r="AP55" s="30">
        <f t="shared" ca="1" si="54"/>
        <v>0.61692591602745339</v>
      </c>
      <c r="AQ55" s="30">
        <f t="shared" ca="1" si="54"/>
        <v>0.70732991999198946</v>
      </c>
      <c r="AR55" s="30">
        <f t="shared" ca="1" si="54"/>
        <v>0.61440986601753933</v>
      </c>
      <c r="AS55" s="30">
        <f t="shared" ca="1" si="54"/>
        <v>0.65763039215624142</v>
      </c>
      <c r="AT55" s="30">
        <f t="shared" ca="1" si="54"/>
        <v>0.61303920474937612</v>
      </c>
      <c r="AU55" s="30">
        <f t="shared" ca="1" si="54"/>
        <v>0.70436045756078913</v>
      </c>
      <c r="AV55" s="30">
        <f t="shared" ca="1" si="54"/>
        <v>0.61049762662268536</v>
      </c>
      <c r="AW55" s="30">
        <f t="shared" ca="1" si="54"/>
        <v>0.65415667291562429</v>
      </c>
      <c r="AX55" s="30">
        <f t="shared" ca="1" si="54"/>
        <v>0.60911305847636932</v>
      </c>
      <c r="AY55" s="30">
        <f t="shared" ca="1" si="54"/>
        <v>0.70136086664112163</v>
      </c>
      <c r="AZ55" s="30">
        <f t="shared" ca="1" si="54"/>
        <v>0.60654569322185536</v>
      </c>
      <c r="BA55" s="30">
        <f t="shared" ca="1" si="54"/>
        <v>0.65064770894216239</v>
      </c>
      <c r="BB55" s="88" t="s">
        <v>75</v>
      </c>
    </row>
    <row r="56" spans="1:57" s="25" customFormat="1" x14ac:dyDescent="0.2">
      <c r="B56" s="22" t="s">
        <v>135</v>
      </c>
      <c r="C56" s="45" t="s">
        <v>164</v>
      </c>
      <c r="D56" s="19"/>
      <c r="E56" s="11"/>
      <c r="F56" s="11"/>
      <c r="G56" s="11">
        <f t="shared" ref="G56:H58" ca="1" si="55">+SUMIFS(56:56,$6:$6,G$3)</f>
        <v>1.6018413540667895</v>
      </c>
      <c r="H56" s="11">
        <f t="shared" ca="1" si="55"/>
        <v>1.7576333490468519</v>
      </c>
      <c r="I56" s="1"/>
      <c r="J56" s="1"/>
      <c r="K56" s="1"/>
      <c r="L56" s="1"/>
      <c r="M56" s="1"/>
      <c r="N56" s="1"/>
      <c r="O56" s="1"/>
      <c r="V56" s="23">
        <f t="shared" ref="V56:AC56" ca="1" si="56">+V39/V$9</f>
        <v>0.39944592436318116</v>
      </c>
      <c r="W56" s="23">
        <f t="shared" ca="1" si="56"/>
        <v>0.35878146684122303</v>
      </c>
      <c r="X56" s="23">
        <f t="shared" ca="1" si="56"/>
        <v>0.50348914160822833</v>
      </c>
      <c r="Y56" s="23">
        <f t="shared" ca="1" si="56"/>
        <v>0.34012482125415711</v>
      </c>
      <c r="Z56" s="23">
        <f t="shared" ca="1" si="56"/>
        <v>0.7716358552892556</v>
      </c>
      <c r="AA56" s="23">
        <f t="shared" ca="1" si="56"/>
        <v>0.34061731342129631</v>
      </c>
      <c r="AB56" s="23">
        <f t="shared" ca="1" si="56"/>
        <v>0</v>
      </c>
      <c r="AC56" s="23">
        <f t="shared" ca="1" si="56"/>
        <v>0.64538018033629996</v>
      </c>
      <c r="BB56" s="88" t="s">
        <v>75</v>
      </c>
    </row>
    <row r="57" spans="1:57" x14ac:dyDescent="0.2">
      <c r="B57" s="33" t="s">
        <v>142</v>
      </c>
      <c r="C57" s="45" t="s">
        <v>164</v>
      </c>
      <c r="D57" s="26"/>
      <c r="E57" s="11"/>
      <c r="F57" s="11"/>
      <c r="G57" s="11">
        <f t="shared" ca="1" si="55"/>
        <v>-1.8817523165262802</v>
      </c>
      <c r="H57" s="11">
        <f t="shared" ca="1" si="55"/>
        <v>0</v>
      </c>
      <c r="R57" s="25"/>
      <c r="S57" s="25"/>
      <c r="T57" s="25"/>
      <c r="U57" s="25"/>
      <c r="V57" s="23">
        <f t="shared" ref="V57:AC57" ca="1" si="57">+V40/V$9</f>
        <v>0.42808635086604019</v>
      </c>
      <c r="W57" s="23">
        <f t="shared" ca="1" si="57"/>
        <v>-1.3704669028746876</v>
      </c>
      <c r="X57" s="23">
        <f t="shared" ca="1" si="57"/>
        <v>-0.40202842185108145</v>
      </c>
      <c r="Y57" s="23">
        <f t="shared" ca="1" si="57"/>
        <v>-0.53734334266655126</v>
      </c>
      <c r="Z57" s="23">
        <f t="shared" ca="1" si="57"/>
        <v>0</v>
      </c>
      <c r="AA57" s="23">
        <f t="shared" ca="1" si="57"/>
        <v>0</v>
      </c>
      <c r="AB57" s="23">
        <f t="shared" ca="1" si="57"/>
        <v>0</v>
      </c>
      <c r="AC57" s="23">
        <f t="shared" ca="1" si="57"/>
        <v>0</v>
      </c>
      <c r="BB57" s="8" t="s">
        <v>75</v>
      </c>
    </row>
    <row r="58" spans="1:57" s="2" customFormat="1" x14ac:dyDescent="0.2">
      <c r="B58" s="18" t="s">
        <v>4</v>
      </c>
      <c r="C58" s="45" t="s">
        <v>164</v>
      </c>
      <c r="E58" s="13"/>
      <c r="F58" s="13"/>
      <c r="G58" s="13">
        <f t="shared" ca="1" si="55"/>
        <v>20.680801214099439</v>
      </c>
      <c r="H58" s="13">
        <f t="shared" ca="1" si="55"/>
        <v>26.919754567777005</v>
      </c>
      <c r="I58" s="13">
        <f t="shared" ref="I58:N58" ca="1" si="58">+SUMIFS(58:58,$6:$6,I$3)</f>
        <v>29.305982402094507</v>
      </c>
      <c r="J58" s="13">
        <f t="shared" ca="1" si="58"/>
        <v>28.973056479036174</v>
      </c>
      <c r="K58" s="13">
        <f t="shared" ca="1" si="58"/>
        <v>29.100079226867599</v>
      </c>
      <c r="L58" s="13">
        <f t="shared" ca="1" si="58"/>
        <v>29.225228930839162</v>
      </c>
      <c r="M58" s="13">
        <f t="shared" ca="1" si="58"/>
        <v>29.34842507675943</v>
      </c>
      <c r="N58" s="13">
        <f t="shared" ca="1" si="58"/>
        <v>29.469585120171722</v>
      </c>
      <c r="P58" s="131">
        <f ca="1">+(N58/I58)^(1/5)-1</f>
        <v>1.1140292467772817E-3</v>
      </c>
      <c r="R58" s="32"/>
      <c r="S58" s="32"/>
      <c r="T58" s="32"/>
      <c r="U58" s="32"/>
      <c r="V58" s="24">
        <f ca="1">+V54+V56+V57</f>
        <v>3.4758947381863869</v>
      </c>
      <c r="W58" s="24">
        <f t="shared" ref="W58:BA58" ca="1" si="59">+W54+W56+W57</f>
        <v>3.1372340183631051</v>
      </c>
      <c r="X58" s="24">
        <f t="shared" ca="1" si="59"/>
        <v>4.2238032360967024</v>
      </c>
      <c r="Y58" s="24">
        <f t="shared" ca="1" si="59"/>
        <v>9.8438692214532466</v>
      </c>
      <c r="Z58" s="24">
        <f t="shared" ca="1" si="59"/>
        <v>5.8664251918874282</v>
      </c>
      <c r="AA58" s="24">
        <f t="shared" ca="1" si="59"/>
        <v>6.0665789806191244</v>
      </c>
      <c r="AB58" s="24">
        <f t="shared" ca="1" si="59"/>
        <v>7.1698972793249238</v>
      </c>
      <c r="AC58" s="24">
        <f t="shared" ca="1" si="59"/>
        <v>7.8168531159455279</v>
      </c>
      <c r="AD58" s="24">
        <f t="shared" ca="1" si="59"/>
        <v>7.3832113582274044</v>
      </c>
      <c r="AE58" s="24">
        <f t="shared" ca="1" si="59"/>
        <v>7.8485368918689593</v>
      </c>
      <c r="AF58" s="24">
        <f t="shared" ca="1" si="59"/>
        <v>6.8264858189904212</v>
      </c>
      <c r="AG58" s="24">
        <f t="shared" ca="1" si="59"/>
        <v>7.2477483330077259</v>
      </c>
      <c r="AH58" s="24">
        <f t="shared" ca="1" si="59"/>
        <v>6.9470454059670068</v>
      </c>
      <c r="AI58" s="24">
        <f t="shared" ca="1" si="59"/>
        <v>7.8932141749630311</v>
      </c>
      <c r="AJ58" s="24">
        <f t="shared" ca="1" si="59"/>
        <v>6.8512779888187216</v>
      </c>
      <c r="AK58" s="24">
        <f t="shared" ca="1" si="59"/>
        <v>7.2815189092874144</v>
      </c>
      <c r="AL58" s="24">
        <f t="shared" ca="1" si="59"/>
        <v>6.9720333223018542</v>
      </c>
      <c r="AM58" s="24">
        <f t="shared" ca="1" si="59"/>
        <v>7.9376895903995033</v>
      </c>
      <c r="AN58" s="24">
        <f t="shared" ca="1" si="59"/>
        <v>6.8754760115623208</v>
      </c>
      <c r="AO58" s="24">
        <f t="shared" ca="1" si="59"/>
        <v>7.3148803026039202</v>
      </c>
      <c r="AP58" s="24">
        <f t="shared" ca="1" si="59"/>
        <v>6.9964093949979951</v>
      </c>
      <c r="AQ58" s="24">
        <f t="shared" ca="1" si="59"/>
        <v>7.9819484151593301</v>
      </c>
      <c r="AR58" s="24">
        <f t="shared" ca="1" si="59"/>
        <v>6.8990573715129706</v>
      </c>
      <c r="AS58" s="24">
        <f t="shared" ca="1" si="59"/>
        <v>7.3478137491688678</v>
      </c>
      <c r="AT58" s="24">
        <f t="shared" ca="1" si="59"/>
        <v>7.0201505435978477</v>
      </c>
      <c r="AU58" s="24">
        <f t="shared" ca="1" si="59"/>
        <v>8.0259755275252793</v>
      </c>
      <c r="AV58" s="24">
        <f t="shared" ca="1" si="59"/>
        <v>6.9219989989264734</v>
      </c>
      <c r="AW58" s="24">
        <f t="shared" ca="1" si="59"/>
        <v>7.3803000067098319</v>
      </c>
      <c r="AX58" s="24">
        <f t="shared" ca="1" si="59"/>
        <v>7.043233120256426</v>
      </c>
      <c r="AY58" s="24">
        <f t="shared" ca="1" si="59"/>
        <v>8.0697553980911856</v>
      </c>
      <c r="AZ58" s="24">
        <f t="shared" ca="1" si="59"/>
        <v>6.9442772579302288</v>
      </c>
      <c r="BA58" s="24">
        <f t="shared" ca="1" si="59"/>
        <v>7.4123193438938806</v>
      </c>
      <c r="BB58" s="83" t="s">
        <v>75</v>
      </c>
    </row>
    <row r="59" spans="1:57" s="25" customFormat="1" x14ac:dyDescent="0.2">
      <c r="B59" s="26" t="s">
        <v>141</v>
      </c>
      <c r="C59" s="116" t="s">
        <v>177</v>
      </c>
      <c r="D59" s="26"/>
      <c r="E59" s="27"/>
      <c r="F59" s="27"/>
      <c r="G59" s="30">
        <f t="shared" ref="G59:N59" ca="1" si="60">+G58/G48</f>
        <v>0.50958186541195483</v>
      </c>
      <c r="H59" s="30">
        <f t="shared" ca="1" si="60"/>
        <v>0.62204727175461272</v>
      </c>
      <c r="I59" s="30">
        <f t="shared" ca="1" si="60"/>
        <v>0.6630818754002723</v>
      </c>
      <c r="J59" s="30">
        <f t="shared" ca="1" si="60"/>
        <v>0.65607027001141038</v>
      </c>
      <c r="K59" s="30">
        <f t="shared" ca="1" si="60"/>
        <v>0.65258072160200009</v>
      </c>
      <c r="L59" s="30">
        <f t="shared" ca="1" si="60"/>
        <v>0.64905576785527874</v>
      </c>
      <c r="M59" s="30">
        <f t="shared" ca="1" si="60"/>
        <v>0.64549504954484649</v>
      </c>
      <c r="N59" s="30">
        <f t="shared" ca="1" si="60"/>
        <v>0.64189820379955476</v>
      </c>
      <c r="V59" s="30">
        <f ca="1">+V58/V48</f>
        <v>0.45843265882641387</v>
      </c>
      <c r="W59" s="30">
        <f t="shared" ref="W59:BA59" ca="1" si="61">+W58/W48</f>
        <v>0.37064449025078289</v>
      </c>
      <c r="X59" s="30">
        <f t="shared" ca="1" si="61"/>
        <v>0.54708400067471086</v>
      </c>
      <c r="Y59" s="30">
        <f t="shared" ca="1" si="61"/>
        <v>0.58535595156429876</v>
      </c>
      <c r="Z59" s="30">
        <f t="shared" ca="1" si="61"/>
        <v>0.55075683171975132</v>
      </c>
      <c r="AA59" s="30">
        <f t="shared" ca="1" si="61"/>
        <v>0.64139908075600904</v>
      </c>
      <c r="AB59" s="30">
        <f t="shared" ca="1" si="61"/>
        <v>0.64189633592838824</v>
      </c>
      <c r="AC59" s="30">
        <f t="shared" ca="1" si="61"/>
        <v>0.6516070884859404</v>
      </c>
      <c r="AD59" s="30">
        <f t="shared" ca="1" si="61"/>
        <v>0.64330549647926338</v>
      </c>
      <c r="AE59" s="30">
        <f t="shared" ca="1" si="61"/>
        <v>0.7160605473529833</v>
      </c>
      <c r="AF59" s="30">
        <f t="shared" ca="1" si="61"/>
        <v>0.62591238712862929</v>
      </c>
      <c r="AG59" s="30">
        <f t="shared" ca="1" si="61"/>
        <v>0.66784360378939389</v>
      </c>
      <c r="AH59" s="30">
        <f t="shared" ca="1" si="61"/>
        <v>0.62458261399214743</v>
      </c>
      <c r="AI59" s="30">
        <f t="shared" ca="1" si="61"/>
        <v>0.71317966681559541</v>
      </c>
      <c r="AJ59" s="30">
        <f t="shared" ca="1" si="61"/>
        <v>0.62211685356275048</v>
      </c>
      <c r="AK59" s="30">
        <f t="shared" ca="1" si="61"/>
        <v>0.66447350890370127</v>
      </c>
      <c r="AL59" s="30">
        <f t="shared" ca="1" si="61"/>
        <v>0.62077358840354213</v>
      </c>
      <c r="AM59" s="30">
        <f t="shared" ca="1" si="61"/>
        <v>0.71026955655125923</v>
      </c>
      <c r="AN59" s="30">
        <f t="shared" ca="1" si="61"/>
        <v>0.61828281010091646</v>
      </c>
      <c r="AO59" s="30">
        <f t="shared" ca="1" si="61"/>
        <v>0.6610692206691281</v>
      </c>
      <c r="AP59" s="30">
        <f t="shared" ca="1" si="61"/>
        <v>0.61692591602745339</v>
      </c>
      <c r="AQ59" s="30">
        <f t="shared" ca="1" si="61"/>
        <v>0.70732991999198946</v>
      </c>
      <c r="AR59" s="30">
        <f t="shared" ca="1" si="61"/>
        <v>0.61440986601753933</v>
      </c>
      <c r="AS59" s="30">
        <f t="shared" ca="1" si="61"/>
        <v>0.65763039215624142</v>
      </c>
      <c r="AT59" s="30">
        <f t="shared" ca="1" si="61"/>
        <v>0.61303920474937612</v>
      </c>
      <c r="AU59" s="30">
        <f t="shared" ca="1" si="61"/>
        <v>0.70436045756078913</v>
      </c>
      <c r="AV59" s="30">
        <f t="shared" ca="1" si="61"/>
        <v>0.61049762662268536</v>
      </c>
      <c r="AW59" s="30">
        <f t="shared" ca="1" si="61"/>
        <v>0.65415667291562429</v>
      </c>
      <c r="AX59" s="30">
        <f t="shared" ca="1" si="61"/>
        <v>0.60911305847636932</v>
      </c>
      <c r="AY59" s="30">
        <f t="shared" ca="1" si="61"/>
        <v>0.70136086664112163</v>
      </c>
      <c r="AZ59" s="30">
        <f t="shared" ca="1" si="61"/>
        <v>0.60654569322185536</v>
      </c>
      <c r="BA59" s="30">
        <f t="shared" ca="1" si="61"/>
        <v>0.65064770894216239</v>
      </c>
      <c r="BB59" s="88" t="s">
        <v>75</v>
      </c>
    </row>
    <row r="60" spans="1:57" x14ac:dyDescent="0.2">
      <c r="E60" s="11"/>
      <c r="F60" s="11"/>
      <c r="G60" s="11"/>
      <c r="H60" s="11"/>
      <c r="I60" s="11"/>
      <c r="J60" s="11"/>
      <c r="K60" s="11"/>
      <c r="L60" s="11"/>
      <c r="M60" s="11"/>
      <c r="N60" s="11"/>
      <c r="R60" s="25"/>
      <c r="S60" s="25"/>
      <c r="T60" s="25"/>
      <c r="U60" s="25"/>
      <c r="V60" s="12"/>
      <c r="W60" s="12"/>
      <c r="X60" s="12"/>
      <c r="Y60" s="12"/>
      <c r="Z60" s="12"/>
      <c r="AA60" s="12"/>
      <c r="AB60" s="12"/>
      <c r="AC60" s="12"/>
      <c r="BB60" s="8" t="s">
        <v>75</v>
      </c>
    </row>
    <row r="61" spans="1:57" s="35" customFormat="1" x14ac:dyDescent="0.2">
      <c r="A61" s="17" t="s">
        <v>75</v>
      </c>
      <c r="B61" s="36" t="s">
        <v>534</v>
      </c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37"/>
      <c r="P61" s="37"/>
      <c r="Q61" s="37"/>
      <c r="U61" s="37"/>
      <c r="V61" s="37"/>
      <c r="W61" s="37"/>
      <c r="X61" s="37"/>
      <c r="Y61" s="44"/>
      <c r="Z61" s="44"/>
      <c r="AA61" s="44"/>
      <c r="AB61" s="44"/>
      <c r="AC61" s="44"/>
      <c r="AD61" s="44"/>
      <c r="AE61" s="44"/>
      <c r="AF61" s="44"/>
      <c r="BB61" s="90" t="s">
        <v>75</v>
      </c>
      <c r="BE61" s="90"/>
    </row>
    <row r="62" spans="1:57" s="2" customFormat="1" x14ac:dyDescent="0.2">
      <c r="B62" s="2" t="s">
        <v>224</v>
      </c>
      <c r="C62" s="45" t="s">
        <v>164</v>
      </c>
      <c r="E62" s="13"/>
      <c r="F62" s="13"/>
      <c r="G62" s="13"/>
      <c r="H62" s="13"/>
      <c r="I62" s="13"/>
      <c r="J62" s="13"/>
      <c r="K62" s="13"/>
      <c r="L62" s="13"/>
      <c r="M62" s="13"/>
      <c r="N62" s="13"/>
      <c r="P62" s="131"/>
      <c r="R62" s="32"/>
      <c r="S62" s="32"/>
      <c r="T62" s="32"/>
      <c r="U62" s="32"/>
      <c r="V62" s="24">
        <f t="shared" ref="V62:BA62" ca="1" si="62">+V63</f>
        <v>7.9411574469439721</v>
      </c>
      <c r="W62" s="24">
        <f t="shared" ca="1" si="62"/>
        <v>8.5124724713754567</v>
      </c>
      <c r="X62" s="24">
        <f t="shared" ca="1" si="62"/>
        <v>7.6653898092026269</v>
      </c>
      <c r="Y62" s="24">
        <f t="shared" ca="1" si="62"/>
        <v>16.11315390123281</v>
      </c>
      <c r="Z62" s="24">
        <f t="shared" ca="1" si="62"/>
        <v>12.284841063730644</v>
      </c>
      <c r="AA62" s="24">
        <f t="shared" ca="1" si="62"/>
        <v>9.0591617081485492</v>
      </c>
      <c r="AB62" s="24">
        <f t="shared" ca="1" si="62"/>
        <v>10.70934837844958</v>
      </c>
      <c r="AC62" s="24">
        <f t="shared" ca="1" si="62"/>
        <v>11.469984657941183</v>
      </c>
      <c r="AD62" s="24">
        <f t="shared" ca="1" si="62"/>
        <v>11.476990945413753</v>
      </c>
      <c r="AE62" s="24">
        <f t="shared" ca="1" si="62"/>
        <v>10.960716828880127</v>
      </c>
      <c r="AF62" s="24">
        <f t="shared" ca="1" si="62"/>
        <v>10.906455854479729</v>
      </c>
      <c r="AG62" s="24">
        <f t="shared" ca="1" si="62"/>
        <v>10.852463498764482</v>
      </c>
      <c r="AH62" s="24">
        <f t="shared" ca="1" si="62"/>
        <v>11.122700584897082</v>
      </c>
      <c r="AI62" s="24">
        <f t="shared" ca="1" si="62"/>
        <v>11.067637710714422</v>
      </c>
      <c r="AJ62" s="24">
        <f t="shared" ca="1" si="62"/>
        <v>11.012847425017815</v>
      </c>
      <c r="AK62" s="24">
        <f t="shared" ca="1" si="62"/>
        <v>10.958328378359306</v>
      </c>
      <c r="AL62" s="24">
        <f t="shared" ca="1" si="62"/>
        <v>11.231201604810531</v>
      </c>
      <c r="AM62" s="24">
        <f t="shared" ca="1" si="62"/>
        <v>11.175601596865922</v>
      </c>
      <c r="AN62" s="24">
        <f t="shared" ca="1" si="62"/>
        <v>11.120276836485397</v>
      </c>
      <c r="AO62" s="24">
        <f t="shared" ca="1" si="62"/>
        <v>11.06522596105725</v>
      </c>
      <c r="AP62" s="24">
        <f t="shared" ca="1" si="62"/>
        <v>11.340761043156846</v>
      </c>
      <c r="AQ62" s="24">
        <f t="shared" ca="1" si="62"/>
        <v>11.284618661755077</v>
      </c>
      <c r="AR62" s="24">
        <f t="shared" ca="1" si="62"/>
        <v>11.228754212934508</v>
      </c>
      <c r="AS62" s="24">
        <f t="shared" ca="1" si="62"/>
        <v>11.173166320791264</v>
      </c>
      <c r="AT62" s="24">
        <f t="shared" ca="1" si="62"/>
        <v>11.451389224719875</v>
      </c>
      <c r="AU62" s="24">
        <f t="shared" ca="1" si="62"/>
        <v>11.394699179052942</v>
      </c>
      <c r="AV62" s="24">
        <f t="shared" ca="1" si="62"/>
        <v>11.338289777176442</v>
      </c>
      <c r="AW62" s="24">
        <f t="shared" ca="1" si="62"/>
        <v>11.282159629764676</v>
      </c>
      <c r="AX62" s="24">
        <f t="shared" ca="1" si="62"/>
        <v>11.563096575000895</v>
      </c>
      <c r="AY62" s="24">
        <f t="shared" ca="1" si="62"/>
        <v>11.505853522649401</v>
      </c>
      <c r="AZ62" s="24">
        <f t="shared" ca="1" si="62"/>
        <v>11.448893851745197</v>
      </c>
      <c r="BA62" s="24">
        <f t="shared" ca="1" si="62"/>
        <v>11.392216159409822</v>
      </c>
      <c r="BB62" s="8" t="s">
        <v>75</v>
      </c>
    </row>
    <row r="63" spans="1:57" s="25" customFormat="1" x14ac:dyDescent="0.2">
      <c r="B63" s="19" t="s">
        <v>520</v>
      </c>
      <c r="C63" s="45" t="s">
        <v>164</v>
      </c>
      <c r="D63" s="26"/>
      <c r="E63" s="11"/>
      <c r="F63" s="11"/>
      <c r="G63" s="30"/>
      <c r="H63" s="30"/>
      <c r="I63" s="30"/>
      <c r="J63" s="30"/>
      <c r="K63" s="30"/>
      <c r="L63" s="30"/>
      <c r="M63" s="30"/>
      <c r="N63" s="30"/>
      <c r="V63" s="46">
        <f ca="1">+SUMIFS('Contract CF'!55:55,'Contract CF'!$3:$3,V$6)*V$12/V9</f>
        <v>7.9411574469439721</v>
      </c>
      <c r="W63" s="46">
        <f ca="1">+SUMIFS('Contract CF'!55:55,'Contract CF'!$3:$3,W$6)*W$12/W9</f>
        <v>8.5124724713754567</v>
      </c>
      <c r="X63" s="46">
        <f ca="1">+SUMIFS('Contract CF'!55:55,'Contract CF'!$3:$3,X$6)*X$12/X9</f>
        <v>7.6653898092026269</v>
      </c>
      <c r="Y63" s="46">
        <f ca="1">+SUMIFS('Contract CF'!55:55,'Contract CF'!$3:$3,Y$6)*Y$12/Y9</f>
        <v>16.11315390123281</v>
      </c>
      <c r="Z63" s="46">
        <f ca="1">+SUMIFS('Contract CF'!55:55,'Contract CF'!$3:$3,Z$6)*Z$12/Z9</f>
        <v>12.284841063730644</v>
      </c>
      <c r="AA63" s="46">
        <f ca="1">+SUMIFS('Contract CF'!55:55,'Contract CF'!$3:$3,AA$6)*AA$12/AA9</f>
        <v>9.0591617081485492</v>
      </c>
      <c r="AB63" s="46">
        <f ca="1">+SUMIFS('Contract CF'!55:55,'Contract CF'!$3:$3,AB$6)*AB$12/AB9</f>
        <v>10.70934837844958</v>
      </c>
      <c r="AC63" s="46">
        <f ca="1">+SUMIFS('Contract CF'!55:55,'Contract CF'!$3:$3,AC$6)*AC$12/AC9</f>
        <v>11.469984657941183</v>
      </c>
      <c r="AD63" s="46">
        <f ca="1">+SUMIFS('Contract CF'!55:55,'Contract CF'!$3:$3,AD$6)*AD$12/AD9</f>
        <v>11.476990945413753</v>
      </c>
      <c r="AE63" s="46">
        <f ca="1">+SUMIFS('Contract CF'!55:55,'Contract CF'!$3:$3,AE$6)*AE$12/AE9</f>
        <v>10.960716828880127</v>
      </c>
      <c r="AF63" s="46">
        <f ca="1">+SUMIFS('Contract CF'!55:55,'Contract CF'!$3:$3,AF$6)*AF$12/AF9</f>
        <v>10.906455854479729</v>
      </c>
      <c r="AG63" s="46">
        <f ca="1">+SUMIFS('Contract CF'!55:55,'Contract CF'!$3:$3,AG$6)*AG$12/AG9</f>
        <v>10.852463498764482</v>
      </c>
      <c r="AH63" s="46">
        <f ca="1">+SUMIFS('Contract CF'!55:55,'Contract CF'!$3:$3,AH$6)*AH$12/AH9</f>
        <v>11.122700584897082</v>
      </c>
      <c r="AI63" s="46">
        <f ca="1">+SUMIFS('Contract CF'!55:55,'Contract CF'!$3:$3,AI$6)*AI$12/AI9</f>
        <v>11.067637710714422</v>
      </c>
      <c r="AJ63" s="46">
        <f ca="1">+SUMIFS('Contract CF'!55:55,'Contract CF'!$3:$3,AJ$6)*AJ$12/AJ9</f>
        <v>11.012847425017815</v>
      </c>
      <c r="AK63" s="46">
        <f ca="1">+SUMIFS('Contract CF'!55:55,'Contract CF'!$3:$3,AK$6)*AK$12/AK9</f>
        <v>10.958328378359306</v>
      </c>
      <c r="AL63" s="46">
        <f ca="1">+SUMIFS('Contract CF'!55:55,'Contract CF'!$3:$3,AL$6)*AL$12/AL9</f>
        <v>11.231201604810531</v>
      </c>
      <c r="AM63" s="46">
        <f ca="1">+SUMIFS('Contract CF'!55:55,'Contract CF'!$3:$3,AM$6)*AM$12/AM9</f>
        <v>11.175601596865922</v>
      </c>
      <c r="AN63" s="46">
        <f ca="1">+SUMIFS('Contract CF'!55:55,'Contract CF'!$3:$3,AN$6)*AN$12/AN9</f>
        <v>11.120276836485397</v>
      </c>
      <c r="AO63" s="46">
        <f ca="1">+SUMIFS('Contract CF'!55:55,'Contract CF'!$3:$3,AO$6)*AO$12/AO9</f>
        <v>11.06522596105725</v>
      </c>
      <c r="AP63" s="46">
        <f ca="1">+SUMIFS('Contract CF'!55:55,'Contract CF'!$3:$3,AP$6)*AP$12/AP9</f>
        <v>11.340761043156846</v>
      </c>
      <c r="AQ63" s="46">
        <f ca="1">+SUMIFS('Contract CF'!55:55,'Contract CF'!$3:$3,AQ$6)*AQ$12/AQ9</f>
        <v>11.284618661755077</v>
      </c>
      <c r="AR63" s="46">
        <f ca="1">+SUMIFS('Contract CF'!55:55,'Contract CF'!$3:$3,AR$6)*AR$12/AR9</f>
        <v>11.228754212934508</v>
      </c>
      <c r="AS63" s="46">
        <f ca="1">+SUMIFS('Contract CF'!55:55,'Contract CF'!$3:$3,AS$6)*AS$12/AS9</f>
        <v>11.173166320791264</v>
      </c>
      <c r="AT63" s="46">
        <f ca="1">+SUMIFS('Contract CF'!55:55,'Contract CF'!$3:$3,AT$6)*AT$12/AT9</f>
        <v>11.451389224719875</v>
      </c>
      <c r="AU63" s="46">
        <f ca="1">+SUMIFS('Contract CF'!55:55,'Contract CF'!$3:$3,AU$6)*AU$12/AU9</f>
        <v>11.394699179052942</v>
      </c>
      <c r="AV63" s="46">
        <f ca="1">+SUMIFS('Contract CF'!55:55,'Contract CF'!$3:$3,AV$6)*AV$12/AV9</f>
        <v>11.338289777176442</v>
      </c>
      <c r="AW63" s="46">
        <f ca="1">+SUMIFS('Contract CF'!55:55,'Contract CF'!$3:$3,AW$6)*AW$12/AW9</f>
        <v>11.282159629764676</v>
      </c>
      <c r="AX63" s="46">
        <f ca="1">+SUMIFS('Contract CF'!55:55,'Contract CF'!$3:$3,AX$6)*AX$12/AX9</f>
        <v>11.563096575000895</v>
      </c>
      <c r="AY63" s="46">
        <f ca="1">+SUMIFS('Contract CF'!55:55,'Contract CF'!$3:$3,AY$6)*AY$12/AY9</f>
        <v>11.505853522649401</v>
      </c>
      <c r="AZ63" s="46">
        <f ca="1">+SUMIFS('Contract CF'!55:55,'Contract CF'!$3:$3,AZ$6)*AZ$12/AZ9</f>
        <v>11.448893851745197</v>
      </c>
      <c r="BA63" s="46">
        <f ca="1">+SUMIFS('Contract CF'!55:55,'Contract CF'!$3:$3,BA$6)*BA$12/BA9</f>
        <v>11.392216159409822</v>
      </c>
      <c r="BB63" s="8" t="s">
        <v>75</v>
      </c>
    </row>
    <row r="64" spans="1:57" x14ac:dyDescent="0.2">
      <c r="B64" s="26"/>
      <c r="C64" s="45"/>
      <c r="D64" s="86"/>
      <c r="E64" s="11"/>
      <c r="F64" s="11"/>
      <c r="G64" s="30"/>
      <c r="H64" s="30"/>
      <c r="I64" s="30"/>
      <c r="J64" s="30"/>
      <c r="K64" s="30"/>
      <c r="L64" s="30"/>
      <c r="M64" s="30"/>
      <c r="N64" s="30"/>
      <c r="R64" s="25"/>
      <c r="S64" s="25"/>
      <c r="T64" s="25"/>
      <c r="U64" s="25"/>
      <c r="V64" s="30"/>
      <c r="W64" s="30"/>
      <c r="X64" s="30"/>
      <c r="Y64" s="30"/>
      <c r="Z64" s="30"/>
      <c r="AA64" s="30"/>
      <c r="AB64" s="30"/>
      <c r="AC64" s="30"/>
      <c r="AD64" s="111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8" t="s">
        <v>75</v>
      </c>
    </row>
    <row r="65" spans="1:57" s="2" customFormat="1" x14ac:dyDescent="0.2">
      <c r="B65" s="2" t="s">
        <v>230</v>
      </c>
      <c r="C65" s="45" t="s">
        <v>201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P65" s="131"/>
      <c r="R65" s="32"/>
      <c r="S65" s="32"/>
      <c r="T65" s="32"/>
      <c r="U65" s="32"/>
      <c r="V65" s="24">
        <f ca="1">+V66</f>
        <v>1.1055979134996694</v>
      </c>
      <c r="W65" s="24">
        <f t="shared" ref="W65:AD65" ca="1" si="63">+W66</f>
        <v>1.0502112648610473</v>
      </c>
      <c r="X65" s="24">
        <f t="shared" ca="1" si="63"/>
        <v>1.0621169838957214</v>
      </c>
      <c r="Y65" s="24">
        <f t="shared" ca="1" si="63"/>
        <v>0.97793161628312764</v>
      </c>
      <c r="Z65" s="24">
        <f t="shared" ca="1" si="63"/>
        <v>1.2434131977766119</v>
      </c>
      <c r="AA65" s="24">
        <f t="shared" ca="1" si="63"/>
        <v>0.99357580929466571</v>
      </c>
      <c r="AB65" s="24">
        <f t="shared" ca="1" si="63"/>
        <v>0.95877126498451792</v>
      </c>
      <c r="AC65" s="24">
        <f t="shared" ca="1" si="63"/>
        <v>465.49369206720365</v>
      </c>
      <c r="AD65" s="24">
        <f t="shared" ca="1" si="63"/>
        <v>1061.4230465999999</v>
      </c>
      <c r="AE65" s="24">
        <f t="shared" ref="AE65" ca="1" si="64">+AE66</f>
        <v>833.92725480000001</v>
      </c>
      <c r="AF65" s="24">
        <f t="shared" ref="AF65" ca="1" si="65">+AF66</f>
        <v>1060.4437140000002</v>
      </c>
      <c r="AG65" s="24">
        <f t="shared" ref="AG65" ca="1" si="66">+AG66</f>
        <v>469.87350600000002</v>
      </c>
      <c r="AH65" s="24">
        <f t="shared" ref="AH65" ca="1" si="67">+AH66</f>
        <v>1082.6515075319999</v>
      </c>
      <c r="AI65" s="24">
        <f t="shared" ref="AI65" ca="1" si="68">+AI66</f>
        <v>850.60579989600001</v>
      </c>
      <c r="AJ65" s="24">
        <f t="shared" ref="AJ65" ca="1" si="69">+AJ66</f>
        <v>1081.6525882800001</v>
      </c>
      <c r="AK65" s="24">
        <f t="shared" ref="AK65" ca="1" si="70">+AK66</f>
        <v>479.27097612000006</v>
      </c>
      <c r="AL65" s="24">
        <f t="shared" ref="AL65" ca="1" si="71">+AL66</f>
        <v>1104.3045376826399</v>
      </c>
      <c r="AM65" s="24">
        <f t="shared" ref="AM65" ca="1" si="72">+AM66</f>
        <v>867.61791589391999</v>
      </c>
      <c r="AN65" s="24">
        <f t="shared" ref="AN65" ca="1" si="73">+AN66</f>
        <v>1103.2856400456001</v>
      </c>
      <c r="AO65" s="24">
        <f t="shared" ref="AO65" ca="1" si="74">+AO66</f>
        <v>488.85639564240006</v>
      </c>
      <c r="AP65" s="24">
        <f t="shared" ref="AP65" ca="1" si="75">+AP66</f>
        <v>1126.3906284362927</v>
      </c>
      <c r="AQ65" s="24">
        <f t="shared" ref="AQ65" ca="1" si="76">+AQ66</f>
        <v>884.97027421179837</v>
      </c>
      <c r="AR65" s="24">
        <f t="shared" ref="AR65" ca="1" si="77">+AR66</f>
        <v>1125.3513528465121</v>
      </c>
      <c r="AS65" s="24">
        <f t="shared" ref="AS65" ca="1" si="78">+AS66</f>
        <v>498.63352355524808</v>
      </c>
      <c r="AT65" s="24">
        <f t="shared" ref="AT65" ca="1" si="79">+AT66</f>
        <v>1148.9184410050186</v>
      </c>
      <c r="AU65" s="24">
        <f t="shared" ref="AU65" ca="1" si="80">+AU66</f>
        <v>902.66967969603434</v>
      </c>
      <c r="AV65" s="24">
        <f t="shared" ref="AV65" ca="1" si="81">+AV66</f>
        <v>1147.8583799034423</v>
      </c>
      <c r="AW65" s="24">
        <f t="shared" ref="AW65" ca="1" si="82">+AW66</f>
        <v>508.60619402635302</v>
      </c>
      <c r="AX65" s="24">
        <f t="shared" ref="AX65" ca="1" si="83">+AX66</f>
        <v>1171.8968098251189</v>
      </c>
      <c r="AY65" s="24">
        <f t="shared" ref="AY65" ca="1" si="84">+AY66</f>
        <v>920.7230732899551</v>
      </c>
      <c r="AZ65" s="24">
        <f t="shared" ref="AZ65" ca="1" si="85">+AZ66</f>
        <v>1170.8155475015112</v>
      </c>
      <c r="BA65" s="24">
        <f t="shared" ref="BA65" ca="1" si="86">+BA66</f>
        <v>518.77831790688015</v>
      </c>
      <c r="BB65" s="8" t="s">
        <v>75</v>
      </c>
    </row>
    <row r="66" spans="1:57" x14ac:dyDescent="0.2">
      <c r="B66" s="19" t="str">
        <f>+B63</f>
        <v>Allunorte</v>
      </c>
      <c r="C66" s="45" t="s">
        <v>201</v>
      </c>
      <c r="D66" s="274"/>
      <c r="E66" s="11"/>
      <c r="F66" s="11"/>
      <c r="G66" s="92"/>
      <c r="H66" s="92"/>
      <c r="I66" s="92"/>
      <c r="J66" s="92"/>
      <c r="K66" s="92"/>
      <c r="L66" s="92"/>
      <c r="M66" s="92"/>
      <c r="N66" s="92"/>
      <c r="P66" s="97"/>
      <c r="R66" s="25"/>
      <c r="S66" s="25"/>
      <c r="T66" s="25"/>
      <c r="U66" s="25"/>
      <c r="V66" s="23">
        <f ca="1">+V62/V47</f>
        <v>1.1055979134996694</v>
      </c>
      <c r="W66" s="23">
        <f t="shared" ref="W66:AB66" ca="1" si="87">+W62/W47</f>
        <v>1.0502112648610473</v>
      </c>
      <c r="X66" s="23">
        <f t="shared" ca="1" si="87"/>
        <v>1.0621169838957214</v>
      </c>
      <c r="Y66" s="23">
        <f t="shared" ca="1" si="87"/>
        <v>0.97793161628312764</v>
      </c>
      <c r="Z66" s="23">
        <f t="shared" ca="1" si="87"/>
        <v>1.2434131977766119</v>
      </c>
      <c r="AA66" s="23">
        <f t="shared" ca="1" si="87"/>
        <v>0.99357580929466571</v>
      </c>
      <c r="AB66" s="23">
        <f t="shared" ca="1" si="87"/>
        <v>0.95877126498451792</v>
      </c>
      <c r="AC66" s="23">
        <f ca="1">+AC62/AC47*AC16</f>
        <v>465.49369206720365</v>
      </c>
      <c r="AD66" s="106">
        <f ca="1">+AD68*AD16</f>
        <v>1061.4230465999999</v>
      </c>
      <c r="AE66" s="23">
        <f t="shared" ref="AE66:BA66" ca="1" si="88">+AE68*AE16</f>
        <v>833.92725480000001</v>
      </c>
      <c r="AF66" s="23">
        <f t="shared" ca="1" si="88"/>
        <v>1060.4437140000002</v>
      </c>
      <c r="AG66" s="23">
        <f t="shared" ca="1" si="88"/>
        <v>469.87350600000002</v>
      </c>
      <c r="AH66" s="23">
        <f t="shared" ca="1" si="88"/>
        <v>1082.6515075319999</v>
      </c>
      <c r="AI66" s="23">
        <f t="shared" ca="1" si="88"/>
        <v>850.60579989600001</v>
      </c>
      <c r="AJ66" s="23">
        <f t="shared" ca="1" si="88"/>
        <v>1081.6525882800001</v>
      </c>
      <c r="AK66" s="23">
        <f t="shared" ca="1" si="88"/>
        <v>479.27097612000006</v>
      </c>
      <c r="AL66" s="23">
        <f t="shared" ca="1" si="88"/>
        <v>1104.3045376826399</v>
      </c>
      <c r="AM66" s="23">
        <f t="shared" ca="1" si="88"/>
        <v>867.61791589391999</v>
      </c>
      <c r="AN66" s="23">
        <f t="shared" ca="1" si="88"/>
        <v>1103.2856400456001</v>
      </c>
      <c r="AO66" s="23">
        <f t="shared" ca="1" si="88"/>
        <v>488.85639564240006</v>
      </c>
      <c r="AP66" s="23">
        <f t="shared" ca="1" si="88"/>
        <v>1126.3906284362927</v>
      </c>
      <c r="AQ66" s="23">
        <f t="shared" ca="1" si="88"/>
        <v>884.97027421179837</v>
      </c>
      <c r="AR66" s="23">
        <f t="shared" ca="1" si="88"/>
        <v>1125.3513528465121</v>
      </c>
      <c r="AS66" s="23">
        <f t="shared" ca="1" si="88"/>
        <v>498.63352355524808</v>
      </c>
      <c r="AT66" s="23">
        <f t="shared" ca="1" si="88"/>
        <v>1148.9184410050186</v>
      </c>
      <c r="AU66" s="23">
        <f t="shared" ca="1" si="88"/>
        <v>902.66967969603434</v>
      </c>
      <c r="AV66" s="23">
        <f t="shared" ca="1" si="88"/>
        <v>1147.8583799034423</v>
      </c>
      <c r="AW66" s="23">
        <f t="shared" ca="1" si="88"/>
        <v>508.60619402635302</v>
      </c>
      <c r="AX66" s="23">
        <f t="shared" ca="1" si="88"/>
        <v>1171.8968098251189</v>
      </c>
      <c r="AY66" s="23">
        <f t="shared" ca="1" si="88"/>
        <v>920.7230732899551</v>
      </c>
      <c r="AZ66" s="23">
        <f t="shared" ca="1" si="88"/>
        <v>1170.8155475015112</v>
      </c>
      <c r="BA66" s="23">
        <f t="shared" ca="1" si="88"/>
        <v>518.77831790688015</v>
      </c>
      <c r="BB66" s="8" t="s">
        <v>75</v>
      </c>
    </row>
    <row r="67" spans="1:57" x14ac:dyDescent="0.2">
      <c r="B67" s="19"/>
      <c r="C67" s="45"/>
      <c r="D67" s="19"/>
      <c r="E67" s="11"/>
      <c r="F67" s="11"/>
      <c r="G67" s="92"/>
      <c r="H67" s="92"/>
      <c r="I67" s="92"/>
      <c r="J67" s="92"/>
      <c r="K67" s="92"/>
      <c r="L67" s="92"/>
      <c r="M67" s="92"/>
      <c r="N67" s="92"/>
      <c r="P67" s="97"/>
      <c r="R67" s="25"/>
      <c r="S67" s="25"/>
      <c r="T67" s="25"/>
      <c r="U67" s="25"/>
      <c r="V67" s="92"/>
      <c r="W67" s="92"/>
      <c r="X67" s="92"/>
      <c r="Y67" s="92"/>
      <c r="Z67" s="92"/>
      <c r="AA67" s="92"/>
      <c r="AB67" s="92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113"/>
      <c r="AP67" s="113"/>
      <c r="AQ67" s="113"/>
      <c r="AR67" s="113"/>
      <c r="AS67" s="113"/>
      <c r="AT67" s="113"/>
      <c r="AU67" s="113"/>
      <c r="AV67" s="113"/>
      <c r="AW67" s="113"/>
      <c r="AX67" s="113"/>
      <c r="AY67" s="113"/>
      <c r="AZ67" s="113"/>
      <c r="BA67" s="113"/>
      <c r="BB67" s="8" t="s">
        <v>75</v>
      </c>
    </row>
    <row r="68" spans="1:57" x14ac:dyDescent="0.2">
      <c r="B68" s="26" t="s">
        <v>239</v>
      </c>
      <c r="C68" s="45" t="s">
        <v>177</v>
      </c>
      <c r="D68" s="274">
        <v>1</v>
      </c>
      <c r="E68" s="11"/>
      <c r="F68" s="11"/>
      <c r="G68" s="92"/>
      <c r="H68" s="92"/>
      <c r="I68" s="92"/>
      <c r="J68" s="92"/>
      <c r="K68" s="92"/>
      <c r="L68" s="92"/>
      <c r="M68" s="92"/>
      <c r="N68" s="92"/>
      <c r="P68" s="97"/>
      <c r="R68" s="25"/>
      <c r="S68" s="25"/>
      <c r="T68" s="25"/>
      <c r="U68" s="25"/>
      <c r="V68" s="30">
        <f ca="1">+V62/V47</f>
        <v>1.1055979134996694</v>
      </c>
      <c r="W68" s="30">
        <f t="shared" ref="W68:AC68" ca="1" si="89">+W62/W47</f>
        <v>1.0502112648610473</v>
      </c>
      <c r="X68" s="30">
        <f t="shared" ca="1" si="89"/>
        <v>1.0621169838957214</v>
      </c>
      <c r="Y68" s="30">
        <f t="shared" ca="1" si="89"/>
        <v>0.97793161628312764</v>
      </c>
      <c r="Z68" s="30">
        <f t="shared" ca="1" si="89"/>
        <v>1.2434131977766119</v>
      </c>
      <c r="AA68" s="30">
        <f t="shared" ca="1" si="89"/>
        <v>0.99357580929466571</v>
      </c>
      <c r="AB68" s="30">
        <f t="shared" ca="1" si="89"/>
        <v>0.95877126498451792</v>
      </c>
      <c r="AC68" s="30">
        <f t="shared" ca="1" si="89"/>
        <v>1.0104923130280679</v>
      </c>
      <c r="AD68" s="111">
        <f>+$D68</f>
        <v>1</v>
      </c>
      <c r="AE68" s="30">
        <f t="shared" ref="AE68:BA68" si="90">+$D68</f>
        <v>1</v>
      </c>
      <c r="AF68" s="30">
        <f t="shared" si="90"/>
        <v>1</v>
      </c>
      <c r="AG68" s="30">
        <f t="shared" si="90"/>
        <v>1</v>
      </c>
      <c r="AH68" s="30">
        <f t="shared" si="90"/>
        <v>1</v>
      </c>
      <c r="AI68" s="30">
        <f t="shared" si="90"/>
        <v>1</v>
      </c>
      <c r="AJ68" s="30">
        <f t="shared" si="90"/>
        <v>1</v>
      </c>
      <c r="AK68" s="30">
        <f t="shared" si="90"/>
        <v>1</v>
      </c>
      <c r="AL68" s="30">
        <f t="shared" si="90"/>
        <v>1</v>
      </c>
      <c r="AM68" s="30">
        <f t="shared" si="90"/>
        <v>1</v>
      </c>
      <c r="AN68" s="30">
        <f t="shared" si="90"/>
        <v>1</v>
      </c>
      <c r="AO68" s="30">
        <f t="shared" si="90"/>
        <v>1</v>
      </c>
      <c r="AP68" s="30">
        <f t="shared" si="90"/>
        <v>1</v>
      </c>
      <c r="AQ68" s="30">
        <f t="shared" si="90"/>
        <v>1</v>
      </c>
      <c r="AR68" s="30">
        <f t="shared" si="90"/>
        <v>1</v>
      </c>
      <c r="AS68" s="30">
        <f t="shared" si="90"/>
        <v>1</v>
      </c>
      <c r="AT68" s="30">
        <f t="shared" si="90"/>
        <v>1</v>
      </c>
      <c r="AU68" s="30">
        <f t="shared" si="90"/>
        <v>1</v>
      </c>
      <c r="AV68" s="30">
        <f t="shared" si="90"/>
        <v>1</v>
      </c>
      <c r="AW68" s="30">
        <f t="shared" si="90"/>
        <v>1</v>
      </c>
      <c r="AX68" s="30">
        <f t="shared" si="90"/>
        <v>1</v>
      </c>
      <c r="AY68" s="30">
        <f t="shared" si="90"/>
        <v>1</v>
      </c>
      <c r="AZ68" s="30">
        <f t="shared" si="90"/>
        <v>1</v>
      </c>
      <c r="BA68" s="30">
        <f t="shared" si="90"/>
        <v>1</v>
      </c>
      <c r="BB68" s="8" t="s">
        <v>75</v>
      </c>
    </row>
    <row r="69" spans="1:57" x14ac:dyDescent="0.2">
      <c r="B69" s="19"/>
      <c r="C69" s="45"/>
      <c r="D69" s="19"/>
      <c r="E69" s="11"/>
      <c r="F69" s="11"/>
      <c r="G69" s="92"/>
      <c r="H69" s="92"/>
      <c r="I69" s="92"/>
      <c r="J69" s="92"/>
      <c r="K69" s="92"/>
      <c r="L69" s="92"/>
      <c r="M69" s="92"/>
      <c r="N69" s="92"/>
      <c r="P69" s="97"/>
      <c r="R69" s="25"/>
      <c r="S69" s="25"/>
      <c r="T69" s="25"/>
      <c r="U69" s="25"/>
      <c r="V69" s="92"/>
      <c r="W69" s="92"/>
      <c r="X69" s="92"/>
      <c r="Y69" s="92"/>
      <c r="Z69" s="92"/>
      <c r="AA69" s="92"/>
      <c r="AB69" s="92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113"/>
      <c r="AP69" s="113"/>
      <c r="AQ69" s="113"/>
      <c r="AR69" s="113"/>
      <c r="AS69" s="113"/>
      <c r="AT69" s="113"/>
      <c r="AU69" s="113"/>
      <c r="AV69" s="113"/>
      <c r="AW69" s="113"/>
      <c r="AX69" s="113"/>
      <c r="AY69" s="113"/>
      <c r="AZ69" s="113"/>
      <c r="BA69" s="113"/>
      <c r="BB69" s="8" t="s">
        <v>75</v>
      </c>
    </row>
    <row r="70" spans="1:57" s="35" customFormat="1" x14ac:dyDescent="0.2">
      <c r="A70" s="17" t="s">
        <v>75</v>
      </c>
      <c r="B70" s="36" t="s">
        <v>535</v>
      </c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37"/>
      <c r="P70" s="37"/>
      <c r="Q70" s="37"/>
      <c r="U70" s="37"/>
      <c r="V70" s="37"/>
      <c r="W70" s="37"/>
      <c r="X70" s="37"/>
      <c r="Y70" s="44"/>
      <c r="Z70" s="44"/>
      <c r="AA70" s="44"/>
      <c r="AB70" s="44"/>
      <c r="AC70" s="44"/>
      <c r="AD70" s="44"/>
      <c r="AE70" s="44"/>
      <c r="AF70" s="44"/>
      <c r="BB70" s="90" t="s">
        <v>75</v>
      </c>
      <c r="BE70" s="90"/>
    </row>
    <row r="71" spans="1:57" x14ac:dyDescent="0.2">
      <c r="B71" s="1" t="s">
        <v>538</v>
      </c>
      <c r="C71" s="45" t="s">
        <v>164</v>
      </c>
      <c r="D71" s="348">
        <v>0.02</v>
      </c>
      <c r="V71" s="11">
        <f ca="1">V73*V74</f>
        <v>-0.74135731025180684</v>
      </c>
      <c r="W71" s="11">
        <f t="shared" ref="W71:AC71" ca="1" si="91">W73*W74</f>
        <v>-0.99365035195572515</v>
      </c>
      <c r="X71" s="11">
        <f t="shared" ca="1" si="91"/>
        <v>-0.59865658938050559</v>
      </c>
      <c r="Y71" s="11">
        <f t="shared" ca="1" si="91"/>
        <v>-1.326580070633353</v>
      </c>
      <c r="Z71" s="11">
        <f t="shared" ca="1" si="91"/>
        <v>-0.80270187984046049</v>
      </c>
      <c r="AA71" s="11">
        <f t="shared" ca="1" si="91"/>
        <v>-0.61023136019826818</v>
      </c>
      <c r="AB71" s="11">
        <f t="shared" ca="1" si="91"/>
        <v>-0.79999412460574659</v>
      </c>
      <c r="AC71" s="11">
        <f t="shared" ca="1" si="91"/>
        <v>-0.70680689524642293</v>
      </c>
      <c r="AD71" s="106">
        <f ca="1">+Z71*(1+$D71)</f>
        <v>-0.81875591743726972</v>
      </c>
      <c r="AE71" s="11">
        <f t="shared" ref="AE71:BA72" ca="1" si="92">+AA71*(1+$D71)</f>
        <v>-0.6224359874022336</v>
      </c>
      <c r="AF71" s="11">
        <f t="shared" ca="1" si="92"/>
        <v>-0.81599400709786152</v>
      </c>
      <c r="AG71" s="11">
        <f t="shared" ca="1" si="92"/>
        <v>-0.72094303315135144</v>
      </c>
      <c r="AH71" s="11">
        <f t="shared" ca="1" si="92"/>
        <v>-0.83513103578601511</v>
      </c>
      <c r="AI71" s="11">
        <f t="shared" ca="1" si="92"/>
        <v>-0.63488470715027834</v>
      </c>
      <c r="AJ71" s="11">
        <f t="shared" ca="1" si="92"/>
        <v>-0.83231388723981881</v>
      </c>
      <c r="AK71" s="11">
        <f t="shared" ca="1" si="92"/>
        <v>-0.73536189381437844</v>
      </c>
      <c r="AL71" s="11">
        <f t="shared" ca="1" si="92"/>
        <v>-0.85183365650173537</v>
      </c>
      <c r="AM71" s="11">
        <f t="shared" ca="1" si="92"/>
        <v>-0.64758240129328393</v>
      </c>
      <c r="AN71" s="11">
        <f t="shared" ca="1" si="92"/>
        <v>-0.84896016498461524</v>
      </c>
      <c r="AO71" s="11">
        <f t="shared" ca="1" si="92"/>
        <v>-0.75006913169066602</v>
      </c>
      <c r="AP71" s="11">
        <f t="shared" ca="1" si="92"/>
        <v>-0.86887032963177013</v>
      </c>
      <c r="AQ71" s="11">
        <f t="shared" ca="1" si="92"/>
        <v>-0.66053404931914961</v>
      </c>
      <c r="AR71" s="11">
        <f t="shared" ca="1" si="92"/>
        <v>-0.86593936828430751</v>
      </c>
      <c r="AS71" s="11">
        <f t="shared" ca="1" si="92"/>
        <v>-0.76507051432447937</v>
      </c>
      <c r="AT71" s="11">
        <f t="shared" ca="1" si="92"/>
        <v>-0.88624773622440556</v>
      </c>
      <c r="AU71" s="11">
        <f t="shared" ca="1" si="92"/>
        <v>-0.67374473030553261</v>
      </c>
      <c r="AV71" s="11">
        <f t="shared" ca="1" si="92"/>
        <v>-0.88325815564999366</v>
      </c>
      <c r="AW71" s="11">
        <f t="shared" ca="1" si="92"/>
        <v>-0.78037192461096894</v>
      </c>
      <c r="AX71" s="11">
        <f t="shared" ca="1" si="92"/>
        <v>-0.90397269094889365</v>
      </c>
      <c r="AY71" s="11">
        <f t="shared" ca="1" si="92"/>
        <v>-0.68721962491164323</v>
      </c>
      <c r="AZ71" s="11">
        <f t="shared" ca="1" si="92"/>
        <v>-0.90092331876299359</v>
      </c>
      <c r="BA71" s="11">
        <f t="shared" ca="1" si="92"/>
        <v>-0.79597936310318829</v>
      </c>
      <c r="BB71" s="8" t="s">
        <v>75</v>
      </c>
    </row>
    <row r="72" spans="1:57" x14ac:dyDescent="0.2">
      <c r="B72" s="1" t="s">
        <v>539</v>
      </c>
      <c r="C72" s="45" t="s">
        <v>164</v>
      </c>
      <c r="D72" s="348">
        <v>0.02</v>
      </c>
      <c r="V72" s="11">
        <f ca="1">+V73-V71</f>
        <v>-2.9654292410072274</v>
      </c>
      <c r="W72" s="11">
        <f t="shared" ref="W72:AC72" ca="1" si="93">+W73-W71</f>
        <v>-3.9746014078229002</v>
      </c>
      <c r="X72" s="11">
        <f t="shared" ca="1" si="93"/>
        <v>-2.3946263575220224</v>
      </c>
      <c r="Y72" s="11">
        <f t="shared" ca="1" si="93"/>
        <v>-5.3063202825334113</v>
      </c>
      <c r="Z72" s="11">
        <f t="shared" ca="1" si="93"/>
        <v>-3.2108075193618419</v>
      </c>
      <c r="AA72" s="11">
        <f t="shared" ca="1" si="93"/>
        <v>-2.4409254407930723</v>
      </c>
      <c r="AB72" s="11">
        <f t="shared" ca="1" si="93"/>
        <v>-3.1999764984229864</v>
      </c>
      <c r="AC72" s="11">
        <f t="shared" ca="1" si="93"/>
        <v>-2.8272275809856913</v>
      </c>
      <c r="AD72" s="106">
        <f t="shared" ref="AD72" ca="1" si="94">+Z72*(1+$D72)</f>
        <v>-3.2750236697490789</v>
      </c>
      <c r="AE72" s="11">
        <f t="shared" ca="1" si="92"/>
        <v>-2.489743949608934</v>
      </c>
      <c r="AF72" s="11">
        <f t="shared" ca="1" si="92"/>
        <v>-3.2639760283914461</v>
      </c>
      <c r="AG72" s="11">
        <f t="shared" ca="1" si="92"/>
        <v>-2.8837721326054053</v>
      </c>
      <c r="AH72" s="11">
        <f t="shared" ca="1" si="92"/>
        <v>-3.3405241431440604</v>
      </c>
      <c r="AI72" s="11">
        <f t="shared" ca="1" si="92"/>
        <v>-2.5395388286011129</v>
      </c>
      <c r="AJ72" s="11">
        <f t="shared" ca="1" si="92"/>
        <v>-3.3292555489592752</v>
      </c>
      <c r="AK72" s="11">
        <f t="shared" ca="1" si="92"/>
        <v>-2.9414475752575133</v>
      </c>
      <c r="AL72" s="11">
        <f t="shared" ca="1" si="92"/>
        <v>-3.4073346260069415</v>
      </c>
      <c r="AM72" s="11">
        <f t="shared" ca="1" si="92"/>
        <v>-2.5903296051731353</v>
      </c>
      <c r="AN72" s="11">
        <f t="shared" ca="1" si="92"/>
        <v>-3.395840659938461</v>
      </c>
      <c r="AO72" s="11">
        <f t="shared" ca="1" si="92"/>
        <v>-3.0002765267626637</v>
      </c>
      <c r="AP72" s="11">
        <f t="shared" ca="1" si="92"/>
        <v>-3.4754813185270805</v>
      </c>
      <c r="AQ72" s="11">
        <f t="shared" ca="1" si="92"/>
        <v>-2.642136197276598</v>
      </c>
      <c r="AR72" s="11">
        <f t="shared" ca="1" si="92"/>
        <v>-3.46375747313723</v>
      </c>
      <c r="AS72" s="11">
        <f t="shared" ca="1" si="92"/>
        <v>-3.060282057297917</v>
      </c>
      <c r="AT72" s="11">
        <f t="shared" ca="1" si="92"/>
        <v>-3.5449909448976222</v>
      </c>
      <c r="AU72" s="11">
        <f t="shared" ca="1" si="92"/>
        <v>-2.69497892122213</v>
      </c>
      <c r="AV72" s="11">
        <f t="shared" ca="1" si="92"/>
        <v>-3.5330326225999746</v>
      </c>
      <c r="AW72" s="11">
        <f t="shared" ca="1" si="92"/>
        <v>-3.1214876984438753</v>
      </c>
      <c r="AX72" s="11">
        <f t="shared" ca="1" si="92"/>
        <v>-3.6158907637955746</v>
      </c>
      <c r="AY72" s="11">
        <f t="shared" ca="1" si="92"/>
        <v>-2.7488784996465725</v>
      </c>
      <c r="AZ72" s="11">
        <f t="shared" ca="1" si="92"/>
        <v>-3.6036932750519743</v>
      </c>
      <c r="BA72" s="11">
        <f t="shared" ca="1" si="92"/>
        <v>-3.1839174524127527</v>
      </c>
      <c r="BB72" s="8" t="s">
        <v>75</v>
      </c>
    </row>
    <row r="73" spans="1:57" x14ac:dyDescent="0.2">
      <c r="B73" s="2" t="s">
        <v>537</v>
      </c>
      <c r="C73" s="81" t="s">
        <v>164</v>
      </c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13">
        <f ca="1">+V58-V47</f>
        <v>-3.7067865512590341</v>
      </c>
      <c r="W73" s="13">
        <f t="shared" ref="W73:AC73" ca="1" si="95">+W58-W47</f>
        <v>-4.9682517597786253</v>
      </c>
      <c r="X73" s="13">
        <f t="shared" ca="1" si="95"/>
        <v>-2.9932829469025277</v>
      </c>
      <c r="Y73" s="13">
        <f t="shared" ca="1" si="95"/>
        <v>-6.6329003531667645</v>
      </c>
      <c r="Z73" s="13">
        <f t="shared" ca="1" si="95"/>
        <v>-4.0135093992023023</v>
      </c>
      <c r="AA73" s="13">
        <f t="shared" ca="1" si="95"/>
        <v>-3.0511568009913406</v>
      </c>
      <c r="AB73" s="13">
        <f t="shared" ca="1" si="95"/>
        <v>-3.9999706230287329</v>
      </c>
      <c r="AC73" s="13">
        <f t="shared" ca="1" si="95"/>
        <v>-3.5340344762321143</v>
      </c>
      <c r="AD73" s="114">
        <f ca="1">+AD71+AD72</f>
        <v>-4.0937795871863489</v>
      </c>
      <c r="AE73" s="13">
        <f t="shared" ref="AE73:BA73" ca="1" si="96">+AE71+AE72</f>
        <v>-3.1121799370111676</v>
      </c>
      <c r="AF73" s="13">
        <f t="shared" ca="1" si="96"/>
        <v>-4.0799700354893078</v>
      </c>
      <c r="AG73" s="13">
        <f t="shared" ca="1" si="96"/>
        <v>-3.6047151657567569</v>
      </c>
      <c r="AH73" s="13">
        <f t="shared" ca="1" si="96"/>
        <v>-4.1756551789300751</v>
      </c>
      <c r="AI73" s="13">
        <f t="shared" ca="1" si="96"/>
        <v>-3.1744235357513912</v>
      </c>
      <c r="AJ73" s="13">
        <f t="shared" ca="1" si="96"/>
        <v>-4.1615694361990938</v>
      </c>
      <c r="AK73" s="13">
        <f t="shared" ca="1" si="96"/>
        <v>-3.676809469071892</v>
      </c>
      <c r="AL73" s="13">
        <f t="shared" ca="1" si="96"/>
        <v>-4.2591682825086767</v>
      </c>
      <c r="AM73" s="13">
        <f t="shared" ca="1" si="96"/>
        <v>-3.2379120064664191</v>
      </c>
      <c r="AN73" s="13">
        <f t="shared" ca="1" si="96"/>
        <v>-4.2448008249230762</v>
      </c>
      <c r="AO73" s="13">
        <f t="shared" ca="1" si="96"/>
        <v>-3.7503456584533295</v>
      </c>
      <c r="AP73" s="13">
        <f t="shared" ca="1" si="96"/>
        <v>-4.3443516481588507</v>
      </c>
      <c r="AQ73" s="13">
        <f t="shared" ca="1" si="96"/>
        <v>-3.3026702465957474</v>
      </c>
      <c r="AR73" s="13">
        <f t="shared" ca="1" si="96"/>
        <v>-4.3296968414215371</v>
      </c>
      <c r="AS73" s="13">
        <f t="shared" ca="1" si="96"/>
        <v>-3.8253525716223962</v>
      </c>
      <c r="AT73" s="13">
        <f t="shared" ca="1" si="96"/>
        <v>-4.4312386811220277</v>
      </c>
      <c r="AU73" s="13">
        <f t="shared" ca="1" si="96"/>
        <v>-3.3687236515276626</v>
      </c>
      <c r="AV73" s="13">
        <f t="shared" ca="1" si="96"/>
        <v>-4.4162907782499685</v>
      </c>
      <c r="AW73" s="13">
        <f t="shared" ca="1" si="96"/>
        <v>-3.9018596230548441</v>
      </c>
      <c r="AX73" s="13">
        <f t="shared" ca="1" si="96"/>
        <v>-4.5198634547444687</v>
      </c>
      <c r="AY73" s="13">
        <f t="shared" ca="1" si="96"/>
        <v>-3.4360981245582156</v>
      </c>
      <c r="AZ73" s="13">
        <f t="shared" ca="1" si="96"/>
        <v>-4.5046165938149683</v>
      </c>
      <c r="BA73" s="13">
        <f t="shared" ca="1" si="96"/>
        <v>-3.9798968155159411</v>
      </c>
      <c r="BB73" s="8" t="s">
        <v>75</v>
      </c>
    </row>
    <row r="74" spans="1:57" x14ac:dyDescent="0.2">
      <c r="B74" s="19" t="s">
        <v>536</v>
      </c>
      <c r="C74" s="45" t="s">
        <v>177</v>
      </c>
      <c r="V74" s="267">
        <v>0.2</v>
      </c>
      <c r="W74" s="267">
        <v>0.2</v>
      </c>
      <c r="X74" s="267">
        <v>0.2</v>
      </c>
      <c r="Y74" s="267">
        <v>0.2</v>
      </c>
      <c r="Z74" s="267">
        <v>0.2</v>
      </c>
      <c r="AA74" s="267">
        <v>0.2</v>
      </c>
      <c r="AB74" s="267">
        <v>0.2</v>
      </c>
      <c r="AC74" s="267">
        <v>0.2</v>
      </c>
      <c r="AD74" s="134">
        <f ca="1">+AD71/AD73</f>
        <v>0.19999999999999998</v>
      </c>
      <c r="AE74" s="134">
        <f t="shared" ref="AE74:BA74" ca="1" si="97">+AE71/AE73</f>
        <v>0.20000000000000004</v>
      </c>
      <c r="AF74" s="134">
        <f t="shared" ca="1" si="97"/>
        <v>0.19999999999999998</v>
      </c>
      <c r="AG74" s="134">
        <f t="shared" ca="1" si="97"/>
        <v>0.2</v>
      </c>
      <c r="AH74" s="134">
        <f t="shared" ca="1" si="97"/>
        <v>0.2</v>
      </c>
      <c r="AI74" s="134">
        <f t="shared" ca="1" si="97"/>
        <v>0.20000000000000004</v>
      </c>
      <c r="AJ74" s="134">
        <f t="shared" ca="1" si="97"/>
        <v>0.2</v>
      </c>
      <c r="AK74" s="134">
        <f t="shared" ca="1" si="97"/>
        <v>0.2</v>
      </c>
      <c r="AL74" s="134">
        <f t="shared" ca="1" si="97"/>
        <v>0.2</v>
      </c>
      <c r="AM74" s="134">
        <f t="shared" ca="1" si="97"/>
        <v>0.20000000000000004</v>
      </c>
      <c r="AN74" s="134">
        <f t="shared" ca="1" si="97"/>
        <v>0.2</v>
      </c>
      <c r="AO74" s="134">
        <f t="shared" ca="1" si="97"/>
        <v>0.20000000000000004</v>
      </c>
      <c r="AP74" s="134">
        <f t="shared" ca="1" si="97"/>
        <v>0.2</v>
      </c>
      <c r="AQ74" s="134">
        <f t="shared" ca="1" si="97"/>
        <v>0.20000000000000004</v>
      </c>
      <c r="AR74" s="134">
        <f t="shared" ca="1" si="97"/>
        <v>0.2</v>
      </c>
      <c r="AS74" s="134">
        <f t="shared" ca="1" si="97"/>
        <v>0.20000000000000004</v>
      </c>
      <c r="AT74" s="134">
        <f t="shared" ca="1" si="97"/>
        <v>0.2</v>
      </c>
      <c r="AU74" s="134">
        <f t="shared" ca="1" si="97"/>
        <v>0.20000000000000004</v>
      </c>
      <c r="AV74" s="134">
        <f t="shared" ca="1" si="97"/>
        <v>0.19999999999999998</v>
      </c>
      <c r="AW74" s="134">
        <f t="shared" ca="1" si="97"/>
        <v>0.20000000000000004</v>
      </c>
      <c r="AX74" s="134">
        <f t="shared" ca="1" si="97"/>
        <v>0.19999999999999998</v>
      </c>
      <c r="AY74" s="134">
        <f t="shared" ca="1" si="97"/>
        <v>0.20000000000000004</v>
      </c>
      <c r="AZ74" s="134">
        <f t="shared" ca="1" si="97"/>
        <v>0.19999999999999998</v>
      </c>
      <c r="BA74" s="134">
        <f t="shared" ca="1" si="97"/>
        <v>0.2</v>
      </c>
      <c r="BB74" s="8" t="s">
        <v>75</v>
      </c>
    </row>
    <row r="75" spans="1:57" x14ac:dyDescent="0.2">
      <c r="BB75" s="8" t="s">
        <v>75</v>
      </c>
    </row>
    <row r="76" spans="1:57" x14ac:dyDescent="0.2">
      <c r="BB76" s="8" t="s">
        <v>75</v>
      </c>
    </row>
  </sheetData>
  <conditionalFormatting sqref="C1">
    <cfRule type="cellIs" dxfId="17" priority="2" operator="equal">
      <formula>"OK"</formula>
    </cfRule>
  </conditionalFormatting>
  <conditionalFormatting sqref="C1">
    <cfRule type="cellIs" dxfId="16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0A0A5-D7D8-498D-A3EE-D23609AFF84A}">
  <sheetPr>
    <tabColor theme="5" tint="0.79998168889431442"/>
  </sheetPr>
  <dimension ref="A1:BE39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hidden="1" customWidth="1" outlineLevel="1"/>
    <col min="7" max="7" width="9.140625" style="1" collapsed="1"/>
    <col min="8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7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7" s="5" customFormat="1" ht="16.5" x14ac:dyDescent="0.3">
      <c r="A2" s="6" t="s">
        <v>265</v>
      </c>
      <c r="D2" s="211">
        <f ca="1">+Ctrl!G10</f>
        <v>0.32102203236261162</v>
      </c>
    </row>
    <row r="3" spans="1:57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BA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si="1"/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si="1"/>
        <v>2Q24</v>
      </c>
      <c r="AR3" s="8" t="str">
        <f t="shared" si="1"/>
        <v>3Q24</v>
      </c>
      <c r="AS3" s="8" t="str">
        <f t="shared" si="1"/>
        <v>4Q24</v>
      </c>
      <c r="AT3" s="8" t="str">
        <f t="shared" si="1"/>
        <v>1Q25</v>
      </c>
      <c r="AU3" s="8" t="str">
        <f t="shared" si="1"/>
        <v>2Q25</v>
      </c>
      <c r="AV3" s="8" t="str">
        <f t="shared" si="1"/>
        <v>3Q25</v>
      </c>
      <c r="AW3" s="8" t="str">
        <f t="shared" si="1"/>
        <v>4Q25</v>
      </c>
      <c r="AX3" s="8" t="str">
        <f t="shared" si="1"/>
        <v>1Q26</v>
      </c>
      <c r="AY3" s="8" t="str">
        <f t="shared" si="1"/>
        <v>2Q26</v>
      </c>
      <c r="AZ3" s="8" t="str">
        <f t="shared" si="1"/>
        <v>3Q26</v>
      </c>
      <c r="BA3" s="8" t="str">
        <f t="shared" si="1"/>
        <v>4Q26</v>
      </c>
      <c r="BB3" s="8" t="s">
        <v>75</v>
      </c>
    </row>
    <row r="4" spans="1:57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2">+H5+1</f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R4" s="10">
        <v>43101</v>
      </c>
      <c r="S4" s="7">
        <f t="shared" ref="S4:BA4" si="3">+R5+1</f>
        <v>43191</v>
      </c>
      <c r="T4" s="7">
        <f t="shared" si="3"/>
        <v>43282</v>
      </c>
      <c r="U4" s="7">
        <f t="shared" si="3"/>
        <v>43374</v>
      </c>
      <c r="V4" s="7">
        <f t="shared" si="3"/>
        <v>43466</v>
      </c>
      <c r="W4" s="7">
        <f t="shared" si="3"/>
        <v>43556</v>
      </c>
      <c r="X4" s="7">
        <f t="shared" si="3"/>
        <v>43647</v>
      </c>
      <c r="Y4" s="7">
        <f t="shared" si="3"/>
        <v>43739</v>
      </c>
      <c r="Z4" s="7">
        <f t="shared" si="3"/>
        <v>43831</v>
      </c>
      <c r="AA4" s="7">
        <f t="shared" si="3"/>
        <v>43922</v>
      </c>
      <c r="AB4" s="7">
        <f t="shared" si="3"/>
        <v>44013</v>
      </c>
      <c r="AC4" s="7">
        <f t="shared" si="3"/>
        <v>44105</v>
      </c>
      <c r="AD4" s="7">
        <f t="shared" si="3"/>
        <v>44197</v>
      </c>
      <c r="AE4" s="7">
        <f t="shared" si="3"/>
        <v>44287</v>
      </c>
      <c r="AF4" s="7">
        <f t="shared" si="3"/>
        <v>44378</v>
      </c>
      <c r="AG4" s="7">
        <f t="shared" si="3"/>
        <v>44470</v>
      </c>
      <c r="AH4" s="7">
        <f t="shared" si="3"/>
        <v>44562</v>
      </c>
      <c r="AI4" s="7">
        <f t="shared" si="3"/>
        <v>44652</v>
      </c>
      <c r="AJ4" s="7">
        <f t="shared" si="3"/>
        <v>44743</v>
      </c>
      <c r="AK4" s="7">
        <f t="shared" si="3"/>
        <v>44835</v>
      </c>
      <c r="AL4" s="7">
        <f t="shared" si="3"/>
        <v>44927</v>
      </c>
      <c r="AM4" s="7">
        <f t="shared" si="3"/>
        <v>45017</v>
      </c>
      <c r="AN4" s="7">
        <f t="shared" si="3"/>
        <v>45108</v>
      </c>
      <c r="AO4" s="7">
        <f t="shared" si="3"/>
        <v>45200</v>
      </c>
      <c r="AP4" s="7">
        <f t="shared" si="3"/>
        <v>45292</v>
      </c>
      <c r="AQ4" s="7">
        <f t="shared" si="3"/>
        <v>45383</v>
      </c>
      <c r="AR4" s="7">
        <f t="shared" si="3"/>
        <v>45474</v>
      </c>
      <c r="AS4" s="7">
        <f t="shared" si="3"/>
        <v>45566</v>
      </c>
      <c r="AT4" s="7">
        <f t="shared" si="3"/>
        <v>45658</v>
      </c>
      <c r="AU4" s="7">
        <f t="shared" si="3"/>
        <v>45748</v>
      </c>
      <c r="AV4" s="7">
        <f t="shared" si="3"/>
        <v>45839</v>
      </c>
      <c r="AW4" s="7">
        <f t="shared" si="3"/>
        <v>45931</v>
      </c>
      <c r="AX4" s="7">
        <f t="shared" si="3"/>
        <v>46023</v>
      </c>
      <c r="AY4" s="7">
        <f t="shared" si="3"/>
        <v>46113</v>
      </c>
      <c r="AZ4" s="7">
        <f t="shared" si="3"/>
        <v>46204</v>
      </c>
      <c r="BA4" s="7">
        <f t="shared" si="3"/>
        <v>46296</v>
      </c>
      <c r="BB4" s="8" t="s">
        <v>75</v>
      </c>
    </row>
    <row r="5" spans="1:57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4">+EOMONTH(I4,11)</f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R5" s="7">
        <f t="shared" ref="R5:BA5" si="5">+EOMONTH(R4,2)</f>
        <v>43190</v>
      </c>
      <c r="S5" s="7">
        <f t="shared" si="5"/>
        <v>43281</v>
      </c>
      <c r="T5" s="7">
        <f t="shared" si="5"/>
        <v>43373</v>
      </c>
      <c r="U5" s="7">
        <f t="shared" si="5"/>
        <v>43465</v>
      </c>
      <c r="V5" s="7">
        <f t="shared" si="5"/>
        <v>43555</v>
      </c>
      <c r="W5" s="7">
        <f t="shared" si="5"/>
        <v>43646</v>
      </c>
      <c r="X5" s="7">
        <f t="shared" si="5"/>
        <v>43738</v>
      </c>
      <c r="Y5" s="7">
        <f t="shared" si="5"/>
        <v>43830</v>
      </c>
      <c r="Z5" s="7">
        <f t="shared" si="5"/>
        <v>43921</v>
      </c>
      <c r="AA5" s="7">
        <f t="shared" si="5"/>
        <v>44012</v>
      </c>
      <c r="AB5" s="7">
        <f t="shared" si="5"/>
        <v>44104</v>
      </c>
      <c r="AC5" s="7">
        <f t="shared" si="5"/>
        <v>44196</v>
      </c>
      <c r="AD5" s="7">
        <f t="shared" si="5"/>
        <v>44286</v>
      </c>
      <c r="AE5" s="7">
        <f t="shared" si="5"/>
        <v>44377</v>
      </c>
      <c r="AF5" s="7">
        <f t="shared" si="5"/>
        <v>44469</v>
      </c>
      <c r="AG5" s="7">
        <f t="shared" si="5"/>
        <v>44561</v>
      </c>
      <c r="AH5" s="7">
        <f t="shared" si="5"/>
        <v>44651</v>
      </c>
      <c r="AI5" s="7">
        <f t="shared" si="5"/>
        <v>44742</v>
      </c>
      <c r="AJ5" s="7">
        <f t="shared" si="5"/>
        <v>44834</v>
      </c>
      <c r="AK5" s="7">
        <f t="shared" si="5"/>
        <v>44926</v>
      </c>
      <c r="AL5" s="7">
        <f t="shared" si="5"/>
        <v>45016</v>
      </c>
      <c r="AM5" s="7">
        <f t="shared" si="5"/>
        <v>45107</v>
      </c>
      <c r="AN5" s="7">
        <f t="shared" si="5"/>
        <v>45199</v>
      </c>
      <c r="AO5" s="7">
        <f t="shared" si="5"/>
        <v>45291</v>
      </c>
      <c r="AP5" s="7">
        <f t="shared" si="5"/>
        <v>45382</v>
      </c>
      <c r="AQ5" s="7">
        <f t="shared" si="5"/>
        <v>45473</v>
      </c>
      <c r="AR5" s="7">
        <f t="shared" si="5"/>
        <v>45565</v>
      </c>
      <c r="AS5" s="7">
        <f t="shared" si="5"/>
        <v>45657</v>
      </c>
      <c r="AT5" s="7">
        <f t="shared" si="5"/>
        <v>45747</v>
      </c>
      <c r="AU5" s="7">
        <f t="shared" si="5"/>
        <v>45838</v>
      </c>
      <c r="AV5" s="7">
        <f t="shared" si="5"/>
        <v>45930</v>
      </c>
      <c r="AW5" s="7">
        <f t="shared" si="5"/>
        <v>46022</v>
      </c>
      <c r="AX5" s="7">
        <f t="shared" si="5"/>
        <v>46112</v>
      </c>
      <c r="AY5" s="7">
        <f t="shared" si="5"/>
        <v>46203</v>
      </c>
      <c r="AZ5" s="7">
        <f t="shared" si="5"/>
        <v>46295</v>
      </c>
      <c r="BA5" s="7">
        <f t="shared" si="5"/>
        <v>46387</v>
      </c>
      <c r="BB5" s="8" t="s">
        <v>75</v>
      </c>
    </row>
    <row r="6" spans="1:57" outlineLevel="1" x14ac:dyDescent="0.2">
      <c r="A6" s="1" t="s">
        <v>0</v>
      </c>
      <c r="R6" s="1">
        <f>+YEAR(R5)</f>
        <v>2018</v>
      </c>
      <c r="S6" s="1">
        <f t="shared" ref="S6:BA6" si="6">+YEAR(S5)</f>
        <v>2018</v>
      </c>
      <c r="T6" s="1">
        <f t="shared" si="6"/>
        <v>2018</v>
      </c>
      <c r="U6" s="1">
        <f t="shared" si="6"/>
        <v>2018</v>
      </c>
      <c r="V6" s="1">
        <f t="shared" si="6"/>
        <v>2019</v>
      </c>
      <c r="W6" s="1">
        <f t="shared" si="6"/>
        <v>2019</v>
      </c>
      <c r="X6" s="1">
        <f t="shared" si="6"/>
        <v>2019</v>
      </c>
      <c r="Y6" s="1">
        <f t="shared" si="6"/>
        <v>2019</v>
      </c>
      <c r="Z6" s="1">
        <f t="shared" si="6"/>
        <v>2020</v>
      </c>
      <c r="AA6" s="1">
        <f t="shared" si="6"/>
        <v>2020</v>
      </c>
      <c r="AB6" s="1">
        <f t="shared" si="6"/>
        <v>2020</v>
      </c>
      <c r="AC6" s="1">
        <f t="shared" si="6"/>
        <v>2020</v>
      </c>
      <c r="AD6" s="1">
        <f t="shared" si="6"/>
        <v>2021</v>
      </c>
      <c r="AE6" s="1">
        <f t="shared" si="6"/>
        <v>2021</v>
      </c>
      <c r="AF6" s="1">
        <f t="shared" si="6"/>
        <v>2021</v>
      </c>
      <c r="AG6" s="1">
        <f t="shared" si="6"/>
        <v>2021</v>
      </c>
      <c r="AH6" s="1">
        <f t="shared" si="6"/>
        <v>2022</v>
      </c>
      <c r="AI6" s="1">
        <f t="shared" si="6"/>
        <v>2022</v>
      </c>
      <c r="AJ6" s="1">
        <f t="shared" si="6"/>
        <v>2022</v>
      </c>
      <c r="AK6" s="1">
        <f t="shared" si="6"/>
        <v>2022</v>
      </c>
      <c r="AL6" s="1">
        <f t="shared" si="6"/>
        <v>2023</v>
      </c>
      <c r="AM6" s="1">
        <f t="shared" si="6"/>
        <v>2023</v>
      </c>
      <c r="AN6" s="1">
        <f t="shared" si="6"/>
        <v>2023</v>
      </c>
      <c r="AO6" s="1">
        <f t="shared" si="6"/>
        <v>2023</v>
      </c>
      <c r="AP6" s="1">
        <f t="shared" si="6"/>
        <v>2024</v>
      </c>
      <c r="AQ6" s="1">
        <f t="shared" si="6"/>
        <v>2024</v>
      </c>
      <c r="AR6" s="1">
        <f t="shared" si="6"/>
        <v>2024</v>
      </c>
      <c r="AS6" s="1">
        <f t="shared" si="6"/>
        <v>2024</v>
      </c>
      <c r="AT6" s="1">
        <f t="shared" si="6"/>
        <v>2025</v>
      </c>
      <c r="AU6" s="1">
        <f t="shared" si="6"/>
        <v>2025</v>
      </c>
      <c r="AV6" s="1">
        <f t="shared" si="6"/>
        <v>2025</v>
      </c>
      <c r="AW6" s="1">
        <f t="shared" si="6"/>
        <v>2025</v>
      </c>
      <c r="AX6" s="1">
        <f t="shared" si="6"/>
        <v>2026</v>
      </c>
      <c r="AY6" s="1">
        <f t="shared" si="6"/>
        <v>2026</v>
      </c>
      <c r="AZ6" s="1">
        <f t="shared" si="6"/>
        <v>2026</v>
      </c>
      <c r="BA6" s="1">
        <f t="shared" si="6"/>
        <v>2026</v>
      </c>
      <c r="BB6" s="8" t="s">
        <v>75</v>
      </c>
    </row>
    <row r="7" spans="1:57" s="3" customFormat="1" x14ac:dyDescent="0.2">
      <c r="A7" s="17" t="s">
        <v>75</v>
      </c>
      <c r="B7" s="3" t="s">
        <v>225</v>
      </c>
      <c r="BB7" s="117" t="s">
        <v>75</v>
      </c>
    </row>
    <row r="8" spans="1:57" s="35" customFormat="1" x14ac:dyDescent="0.2">
      <c r="A8" s="17" t="s">
        <v>75</v>
      </c>
      <c r="B8" s="36" t="s">
        <v>5</v>
      </c>
      <c r="C8" s="36"/>
      <c r="D8" s="36"/>
      <c r="E8" s="36"/>
      <c r="F8" s="36"/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U8" s="37"/>
      <c r="V8" s="37"/>
      <c r="W8" s="37"/>
      <c r="X8" s="37"/>
      <c r="Y8" s="44"/>
      <c r="Z8" s="44"/>
      <c r="AA8" s="44"/>
      <c r="AB8" s="44"/>
      <c r="AC8" s="44"/>
      <c r="AD8" s="44"/>
      <c r="AE8" s="44"/>
      <c r="AF8" s="44"/>
      <c r="BB8" s="90" t="s">
        <v>75</v>
      </c>
      <c r="BE8" s="90"/>
    </row>
    <row r="9" spans="1:57" s="2" customFormat="1" x14ac:dyDescent="0.2">
      <c r="B9" s="34" t="s">
        <v>17</v>
      </c>
      <c r="C9" s="45" t="s">
        <v>201</v>
      </c>
      <c r="D9" s="34"/>
      <c r="E9" s="11"/>
      <c r="F9" s="11"/>
      <c r="G9" s="13">
        <f t="shared" ref="G9:N11" si="7">+SUMIFS(9:9,$6:$6,G$3)</f>
        <v>0</v>
      </c>
      <c r="H9" s="13">
        <f t="shared" si="7"/>
        <v>628.00829900000008</v>
      </c>
      <c r="I9" s="13">
        <f t="shared" ca="1" si="7"/>
        <v>933.12930249705755</v>
      </c>
      <c r="J9" s="13">
        <f t="shared" ca="1" si="7"/>
        <v>2471.0180940269411</v>
      </c>
      <c r="K9" s="13">
        <f t="shared" ca="1" si="7"/>
        <v>2555.4453224269919</v>
      </c>
      <c r="L9" s="13">
        <f t="shared" ca="1" si="7"/>
        <v>2642.8234544032712</v>
      </c>
      <c r="M9" s="13">
        <f t="shared" ca="1" si="7"/>
        <v>2733.2579930605957</v>
      </c>
      <c r="N9" s="13">
        <f t="shared" ca="1" si="7"/>
        <v>2826.8582958905031</v>
      </c>
      <c r="P9" s="97">
        <f t="shared" ref="P9:P11" ca="1" si="8">+IFERROR((N9/I9)^(1/5)-1,"NM")</f>
        <v>0.24816627021187077</v>
      </c>
      <c r="R9" s="24">
        <f t="shared" ref="R9:BA9" si="9">+SUM(R10:R11)</f>
        <v>0</v>
      </c>
      <c r="S9" s="24">
        <f t="shared" si="9"/>
        <v>0</v>
      </c>
      <c r="T9" s="24">
        <f t="shared" si="9"/>
        <v>0</v>
      </c>
      <c r="U9" s="24">
        <f t="shared" si="9"/>
        <v>0</v>
      </c>
      <c r="V9" s="24">
        <f t="shared" si="9"/>
        <v>0</v>
      </c>
      <c r="W9" s="24">
        <f t="shared" si="9"/>
        <v>0</v>
      </c>
      <c r="X9" s="24">
        <f t="shared" si="9"/>
        <v>0</v>
      </c>
      <c r="Y9" s="24">
        <f t="shared" si="9"/>
        <v>0</v>
      </c>
      <c r="Z9" s="24">
        <f t="shared" si="9"/>
        <v>0</v>
      </c>
      <c r="AA9" s="24">
        <f t="shared" si="9"/>
        <v>151.243065</v>
      </c>
      <c r="AB9" s="24">
        <f t="shared" si="9"/>
        <v>249.22849600000001</v>
      </c>
      <c r="AC9" s="24">
        <f t="shared" si="9"/>
        <v>227.53673800000001</v>
      </c>
      <c r="AD9" s="24">
        <f t="shared" ca="1" si="9"/>
        <v>229.81210538000002</v>
      </c>
      <c r="AE9" s="24">
        <f t="shared" ca="1" si="9"/>
        <v>232.11022643380002</v>
      </c>
      <c r="AF9" s="24">
        <f t="shared" ca="1" si="9"/>
        <v>234.43132869813803</v>
      </c>
      <c r="AG9" s="24">
        <f t="shared" ca="1" si="9"/>
        <v>236.77564198511942</v>
      </c>
      <c r="AH9" s="24">
        <f t="shared" ca="1" si="9"/>
        <v>614.14339840497064</v>
      </c>
      <c r="AI9" s="24">
        <f t="shared" ca="1" si="9"/>
        <v>616.53483238902027</v>
      </c>
      <c r="AJ9" s="24">
        <f t="shared" ca="1" si="9"/>
        <v>618.95018071291054</v>
      </c>
      <c r="AK9" s="24">
        <f t="shared" ca="1" si="9"/>
        <v>621.38968252003963</v>
      </c>
      <c r="AL9" s="24">
        <f t="shared" ca="1" si="9"/>
        <v>635.10357934524006</v>
      </c>
      <c r="AM9" s="24">
        <f t="shared" ca="1" si="9"/>
        <v>637.59211513869241</v>
      </c>
      <c r="AN9" s="24">
        <f t="shared" ca="1" si="9"/>
        <v>640.10553629007939</v>
      </c>
      <c r="AO9" s="24">
        <f t="shared" ca="1" si="9"/>
        <v>642.64409165298025</v>
      </c>
      <c r="AP9" s="24">
        <f t="shared" ca="1" si="9"/>
        <v>656.79553256950999</v>
      </c>
      <c r="AQ9" s="24">
        <f t="shared" ca="1" si="9"/>
        <v>659.38511289520511</v>
      </c>
      <c r="AR9" s="24">
        <f t="shared" ca="1" si="9"/>
        <v>662.00058902415719</v>
      </c>
      <c r="AS9" s="24">
        <f t="shared" ca="1" si="9"/>
        <v>664.64221991439877</v>
      </c>
      <c r="AT9" s="24">
        <f t="shared" ca="1" si="9"/>
        <v>679.24539211354272</v>
      </c>
      <c r="AU9" s="24">
        <f t="shared" ca="1" si="9"/>
        <v>681.94011978467813</v>
      </c>
      <c r="AV9" s="24">
        <f t="shared" ca="1" si="9"/>
        <v>684.66179473252487</v>
      </c>
      <c r="AW9" s="24">
        <f t="shared" ca="1" si="9"/>
        <v>687.4106864298501</v>
      </c>
      <c r="AX9" s="24">
        <f t="shared" ca="1" si="9"/>
        <v>702.48024579414869</v>
      </c>
      <c r="AY9" s="24">
        <f t="shared" ca="1" si="9"/>
        <v>705.28439021459019</v>
      </c>
      <c r="AZ9" s="24">
        <f t="shared" ca="1" si="9"/>
        <v>708.1165760792361</v>
      </c>
      <c r="BA9" s="24">
        <f t="shared" ca="1" si="9"/>
        <v>710.97708380252845</v>
      </c>
      <c r="BB9" s="8" t="s">
        <v>75</v>
      </c>
    </row>
    <row r="10" spans="1:57" x14ac:dyDescent="0.2">
      <c r="B10" s="19" t="s">
        <v>12</v>
      </c>
      <c r="C10" s="45" t="s">
        <v>201</v>
      </c>
      <c r="D10" s="19"/>
      <c r="E10" s="11"/>
      <c r="F10" s="11"/>
      <c r="G10" s="11">
        <f t="shared" si="7"/>
        <v>0</v>
      </c>
      <c r="H10" s="11">
        <f t="shared" si="7"/>
        <v>628.00829900000008</v>
      </c>
      <c r="I10" s="11">
        <f t="shared" ca="1" si="7"/>
        <v>933.12930249705755</v>
      </c>
      <c r="J10" s="11">
        <f t="shared" ca="1" si="7"/>
        <v>971.01809402694107</v>
      </c>
      <c r="K10" s="11">
        <f t="shared" ca="1" si="7"/>
        <v>1010.4453224269921</v>
      </c>
      <c r="L10" s="11">
        <f t="shared" ca="1" si="7"/>
        <v>1051.4734544032713</v>
      </c>
      <c r="M10" s="11">
        <f t="shared" ca="1" si="7"/>
        <v>1094.1674930605961</v>
      </c>
      <c r="N10" s="11">
        <f t="shared" ca="1" si="7"/>
        <v>1138.5950808905036</v>
      </c>
      <c r="P10" s="97">
        <f t="shared" ca="1" si="8"/>
        <v>4.0604010000000024E-2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151.243065</v>
      </c>
      <c r="AB10" s="12">
        <v>249.22849600000001</v>
      </c>
      <c r="AC10" s="12">
        <v>227.53673800000001</v>
      </c>
      <c r="AD10" s="23">
        <f ca="1">+AC10*(1+AD18)</f>
        <v>229.81210538000002</v>
      </c>
      <c r="AE10" s="23">
        <f t="shared" ref="AE10:BA10" ca="1" si="10">+AD10*(1+AE18)</f>
        <v>232.11022643380002</v>
      </c>
      <c r="AF10" s="23">
        <f t="shared" ca="1" si="10"/>
        <v>234.43132869813803</v>
      </c>
      <c r="AG10" s="23">
        <f t="shared" ca="1" si="10"/>
        <v>236.77564198511942</v>
      </c>
      <c r="AH10" s="23">
        <f t="shared" ca="1" si="10"/>
        <v>239.14339840497061</v>
      </c>
      <c r="AI10" s="23">
        <f t="shared" ca="1" si="10"/>
        <v>241.53483238902032</v>
      </c>
      <c r="AJ10" s="23">
        <f t="shared" ca="1" si="10"/>
        <v>243.95018071291054</v>
      </c>
      <c r="AK10" s="23">
        <f t="shared" ca="1" si="10"/>
        <v>246.38968252003966</v>
      </c>
      <c r="AL10" s="23">
        <f t="shared" ca="1" si="10"/>
        <v>248.85357934524006</v>
      </c>
      <c r="AM10" s="23">
        <f t="shared" ca="1" si="10"/>
        <v>251.34211513869246</v>
      </c>
      <c r="AN10" s="23">
        <f t="shared" ca="1" si="10"/>
        <v>253.85553629007939</v>
      </c>
      <c r="AO10" s="23">
        <f t="shared" ca="1" si="10"/>
        <v>256.39409165298019</v>
      </c>
      <c r="AP10" s="23">
        <f t="shared" ca="1" si="10"/>
        <v>258.95803256951001</v>
      </c>
      <c r="AQ10" s="23">
        <f t="shared" ca="1" si="10"/>
        <v>261.54761289520513</v>
      </c>
      <c r="AR10" s="23">
        <f t="shared" ca="1" si="10"/>
        <v>264.16308902415722</v>
      </c>
      <c r="AS10" s="23">
        <f t="shared" ca="1" si="10"/>
        <v>266.80471991439879</v>
      </c>
      <c r="AT10" s="23">
        <f t="shared" ca="1" si="10"/>
        <v>269.47276711354277</v>
      </c>
      <c r="AU10" s="23">
        <f t="shared" ca="1" si="10"/>
        <v>272.16749478467818</v>
      </c>
      <c r="AV10" s="23">
        <f t="shared" ca="1" si="10"/>
        <v>274.88916973252498</v>
      </c>
      <c r="AW10" s="23">
        <f t="shared" ca="1" si="10"/>
        <v>277.63806142985021</v>
      </c>
      <c r="AX10" s="23">
        <f t="shared" ca="1" si="10"/>
        <v>280.4144420441487</v>
      </c>
      <c r="AY10" s="23">
        <f t="shared" ca="1" si="10"/>
        <v>283.2185864645902</v>
      </c>
      <c r="AZ10" s="23">
        <f t="shared" ca="1" si="10"/>
        <v>286.05077232923611</v>
      </c>
      <c r="BA10" s="23">
        <f t="shared" ca="1" si="10"/>
        <v>288.91128005252847</v>
      </c>
      <c r="BB10" s="8" t="s">
        <v>75</v>
      </c>
    </row>
    <row r="11" spans="1:57" x14ac:dyDescent="0.2">
      <c r="B11" s="19" t="s">
        <v>9</v>
      </c>
      <c r="C11" s="45" t="s">
        <v>201</v>
      </c>
      <c r="D11" s="19"/>
      <c r="E11" s="11"/>
      <c r="F11" s="11"/>
      <c r="G11" s="11">
        <f t="shared" si="7"/>
        <v>0</v>
      </c>
      <c r="H11" s="11">
        <f t="shared" si="7"/>
        <v>0</v>
      </c>
      <c r="I11" s="11">
        <f t="shared" si="7"/>
        <v>0</v>
      </c>
      <c r="J11" s="11">
        <f t="shared" si="7"/>
        <v>1500</v>
      </c>
      <c r="K11" s="11">
        <f t="shared" si="7"/>
        <v>1545</v>
      </c>
      <c r="L11" s="11">
        <f t="shared" si="7"/>
        <v>1591.35</v>
      </c>
      <c r="M11" s="11">
        <f t="shared" si="7"/>
        <v>1639.0904999999998</v>
      </c>
      <c r="N11" s="11">
        <f t="shared" si="7"/>
        <v>1688.2632149999999</v>
      </c>
      <c r="P11" s="97" t="str">
        <f>+IFERROR((N11/I11)^(1/5)-1,"NM")</f>
        <v>NM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375</v>
      </c>
      <c r="AI11" s="12">
        <v>375</v>
      </c>
      <c r="AJ11" s="12">
        <v>375</v>
      </c>
      <c r="AK11" s="12">
        <v>375</v>
      </c>
      <c r="AL11" s="23">
        <f>+AL36/AL39*1000</f>
        <v>386.25</v>
      </c>
      <c r="AM11" s="23">
        <f t="shared" ref="AM11:BA11" si="11">+AM36/AM39*1000</f>
        <v>386.25</v>
      </c>
      <c r="AN11" s="23">
        <f t="shared" si="11"/>
        <v>386.25</v>
      </c>
      <c r="AO11" s="23">
        <f t="shared" si="11"/>
        <v>386.25</v>
      </c>
      <c r="AP11" s="23">
        <f t="shared" si="11"/>
        <v>397.83749999999998</v>
      </c>
      <c r="AQ11" s="23">
        <f t="shared" si="11"/>
        <v>397.83749999999998</v>
      </c>
      <c r="AR11" s="23">
        <f t="shared" si="11"/>
        <v>397.83749999999998</v>
      </c>
      <c r="AS11" s="23">
        <f t="shared" si="11"/>
        <v>397.83749999999998</v>
      </c>
      <c r="AT11" s="23">
        <f t="shared" si="11"/>
        <v>409.77262499999995</v>
      </c>
      <c r="AU11" s="23">
        <f t="shared" si="11"/>
        <v>409.77262499999995</v>
      </c>
      <c r="AV11" s="23">
        <f t="shared" si="11"/>
        <v>409.77262499999995</v>
      </c>
      <c r="AW11" s="23">
        <f t="shared" si="11"/>
        <v>409.77262499999995</v>
      </c>
      <c r="AX11" s="23">
        <f t="shared" si="11"/>
        <v>422.06580374999999</v>
      </c>
      <c r="AY11" s="23">
        <f t="shared" si="11"/>
        <v>422.06580374999999</v>
      </c>
      <c r="AZ11" s="23">
        <f t="shared" si="11"/>
        <v>422.06580374999999</v>
      </c>
      <c r="BA11" s="23">
        <f t="shared" si="11"/>
        <v>422.06580374999999</v>
      </c>
      <c r="BB11" s="8" t="s">
        <v>75</v>
      </c>
    </row>
    <row r="12" spans="1:57" x14ac:dyDescent="0.2">
      <c r="B12" s="19"/>
      <c r="C12" s="19"/>
      <c r="D12" s="19"/>
      <c r="E12" s="11"/>
      <c r="F12" s="11"/>
      <c r="G12" s="11"/>
      <c r="H12" s="11"/>
      <c r="I12" s="11"/>
      <c r="J12" s="11"/>
      <c r="K12" s="11"/>
      <c r="L12" s="11"/>
      <c r="M12" s="11"/>
      <c r="N12" s="11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BB12" s="8" t="s">
        <v>75</v>
      </c>
    </row>
    <row r="13" spans="1:57" s="25" customFormat="1" x14ac:dyDescent="0.2">
      <c r="B13" s="33" t="s">
        <v>202</v>
      </c>
      <c r="C13" s="45" t="s">
        <v>177</v>
      </c>
      <c r="D13" s="33"/>
      <c r="E13" s="11"/>
      <c r="F13" s="11"/>
      <c r="G13" s="27"/>
      <c r="H13" s="30" t="e">
        <f t="shared" ref="H13:N13" si="12">+H9/G9-1</f>
        <v>#DIV/0!</v>
      </c>
      <c r="I13" s="30">
        <f t="shared" ca="1" si="12"/>
        <v>0.48585504997770323</v>
      </c>
      <c r="J13" s="30">
        <f t="shared" ca="1" si="12"/>
        <v>1.6480982725700364</v>
      </c>
      <c r="K13" s="30">
        <f t="shared" ca="1" si="12"/>
        <v>3.4166981052923928E-2</v>
      </c>
      <c r="L13" s="30">
        <f t="shared" ca="1" si="12"/>
        <v>3.4192917848578031E-2</v>
      </c>
      <c r="M13" s="30">
        <f t="shared" ca="1" si="12"/>
        <v>3.4218910274407266E-2</v>
      </c>
      <c r="N13" s="30">
        <f t="shared" ca="1" si="12"/>
        <v>3.424495714182374E-2</v>
      </c>
      <c r="V13" s="42" t="str">
        <f>+IFERROR(V9/R9-1,"NM")</f>
        <v>NM</v>
      </c>
      <c r="W13" s="42" t="str">
        <f t="shared" ref="W13:AC13" si="13">+IFERROR(W9/S9-1,"NM")</f>
        <v>NM</v>
      </c>
      <c r="X13" s="42" t="str">
        <f t="shared" si="13"/>
        <v>NM</v>
      </c>
      <c r="Y13" s="42" t="str">
        <f t="shared" si="13"/>
        <v>NM</v>
      </c>
      <c r="Z13" s="42" t="str">
        <f t="shared" si="13"/>
        <v>NM</v>
      </c>
      <c r="AA13" s="42" t="str">
        <f t="shared" si="13"/>
        <v>NM</v>
      </c>
      <c r="AB13" s="42" t="str">
        <f t="shared" si="13"/>
        <v>NM</v>
      </c>
      <c r="AC13" s="42" t="str">
        <f t="shared" si="13"/>
        <v>NM</v>
      </c>
      <c r="AD13" s="42" t="str">
        <f t="shared" ref="AD13:AM15" ca="1" si="14">+IFERROR(AD9/Z9-1,"NM")</f>
        <v>NM</v>
      </c>
      <c r="AE13" s="42">
        <f t="shared" ca="1" si="14"/>
        <v>0.53468343446887978</v>
      </c>
      <c r="AF13" s="42">
        <f t="shared" ca="1" si="14"/>
        <v>-5.9371891815540923E-2</v>
      </c>
      <c r="AG13" s="42">
        <f t="shared" ca="1" si="14"/>
        <v>4.0604010000000024E-2</v>
      </c>
      <c r="AH13" s="42">
        <f t="shared" ca="1" si="14"/>
        <v>1.6723718378084098</v>
      </c>
      <c r="AI13" s="42">
        <f t="shared" ca="1" si="14"/>
        <v>1.6562157207013959</v>
      </c>
      <c r="AJ13" s="42">
        <f t="shared" ca="1" si="14"/>
        <v>1.6402195651498968</v>
      </c>
      <c r="AK13" s="42">
        <f t="shared" ca="1" si="14"/>
        <v>1.6243817873761355</v>
      </c>
      <c r="AL13" s="42">
        <f t="shared" ca="1" si="14"/>
        <v>3.4129131721852612E-2</v>
      </c>
      <c r="AM13" s="42">
        <f t="shared" ca="1" si="14"/>
        <v>3.4154246675855982E-2</v>
      </c>
      <c r="AN13" s="42">
        <f t="shared" ref="AN13:AW15" ca="1" si="15">+IFERROR(AN9/AJ9-1,"NM")</f>
        <v>3.4179415785616118E-2</v>
      </c>
      <c r="AO13" s="42">
        <f t="shared" ca="1" si="15"/>
        <v>3.4204637976516628E-2</v>
      </c>
      <c r="AP13" s="42">
        <f t="shared" ca="1" si="15"/>
        <v>3.4154984997302629E-2</v>
      </c>
      <c r="AQ13" s="42">
        <f t="shared" ca="1" si="15"/>
        <v>3.4180155681147628E-2</v>
      </c>
      <c r="AR13" s="42">
        <f t="shared" ca="1" si="15"/>
        <v>3.4205379414427473E-2</v>
      </c>
      <c r="AS13" s="42">
        <f t="shared" ca="1" si="15"/>
        <v>3.4230655112436947E-2</v>
      </c>
      <c r="AT13" s="42">
        <f t="shared" ca="1" si="15"/>
        <v>3.4180895622423879E-2</v>
      </c>
      <c r="AU13" s="42">
        <f t="shared" ca="1" si="15"/>
        <v>3.4206120897148029E-2</v>
      </c>
      <c r="AV13" s="42">
        <f t="shared" ca="1" si="15"/>
        <v>3.4231398104603183E-2</v>
      </c>
      <c r="AW13" s="42">
        <f t="shared" ca="1" si="15"/>
        <v>3.4256726150174055E-2</v>
      </c>
      <c r="AX13" s="42">
        <f t="shared" ref="AX13:BA15" ca="1" si="16">+IFERROR(AX9/AT9-1,"NM")</f>
        <v>3.4206862424650764E-2</v>
      </c>
      <c r="AY13" s="42">
        <f t="shared" ca="1" si="16"/>
        <v>3.4232141140607686E-2</v>
      </c>
      <c r="AZ13" s="42">
        <f t="shared" ca="1" si="16"/>
        <v>3.4257470662393708E-2</v>
      </c>
      <c r="BA13" s="42">
        <f t="shared" ca="1" si="16"/>
        <v>3.4282849885667765E-2</v>
      </c>
      <c r="BB13" s="8" t="s">
        <v>75</v>
      </c>
    </row>
    <row r="14" spans="1:57" s="25" customFormat="1" x14ac:dyDescent="0.2">
      <c r="B14" s="26" t="s">
        <v>12</v>
      </c>
      <c r="C14" s="45" t="s">
        <v>177</v>
      </c>
      <c r="D14" s="26"/>
      <c r="E14" s="11"/>
      <c r="F14" s="11"/>
      <c r="G14" s="27"/>
      <c r="H14" s="30" t="e">
        <f t="shared" ref="H14:N14" si="17">+SUM(H10:H11)/SUM(G10:G11)-1</f>
        <v>#DIV/0!</v>
      </c>
      <c r="I14" s="30">
        <f t="shared" ca="1" si="17"/>
        <v>0.48585504997770323</v>
      </c>
      <c r="J14" s="30">
        <f t="shared" ca="1" si="17"/>
        <v>1.6480982725700364</v>
      </c>
      <c r="K14" s="30">
        <f t="shared" ca="1" si="17"/>
        <v>3.4166981052923928E-2</v>
      </c>
      <c r="L14" s="30">
        <f t="shared" ca="1" si="17"/>
        <v>3.4192917848578031E-2</v>
      </c>
      <c r="M14" s="30">
        <f t="shared" ca="1" si="17"/>
        <v>3.4218910274407488E-2</v>
      </c>
      <c r="N14" s="30">
        <f t="shared" ca="1" si="17"/>
        <v>3.424495714182374E-2</v>
      </c>
      <c r="V14" s="42" t="str">
        <f t="shared" ref="V14:AC14" si="18">+IFERROR(V10/R10-1,"NM")</f>
        <v>NM</v>
      </c>
      <c r="W14" s="42" t="str">
        <f t="shared" si="18"/>
        <v>NM</v>
      </c>
      <c r="X14" s="42" t="str">
        <f t="shared" si="18"/>
        <v>NM</v>
      </c>
      <c r="Y14" s="42" t="str">
        <f t="shared" si="18"/>
        <v>NM</v>
      </c>
      <c r="Z14" s="42" t="str">
        <f t="shared" si="18"/>
        <v>NM</v>
      </c>
      <c r="AA14" s="42" t="str">
        <f t="shared" si="18"/>
        <v>NM</v>
      </c>
      <c r="AB14" s="42" t="str">
        <f t="shared" si="18"/>
        <v>NM</v>
      </c>
      <c r="AC14" s="42" t="str">
        <f t="shared" si="18"/>
        <v>NM</v>
      </c>
      <c r="AD14" s="42" t="str">
        <f t="shared" ca="1" si="14"/>
        <v>NM</v>
      </c>
      <c r="AE14" s="42">
        <f t="shared" ca="1" si="14"/>
        <v>0.53468343446887978</v>
      </c>
      <c r="AF14" s="42">
        <f t="shared" ca="1" si="14"/>
        <v>-5.9371891815540923E-2</v>
      </c>
      <c r="AG14" s="42">
        <f t="shared" ca="1" si="14"/>
        <v>4.0604010000000024E-2</v>
      </c>
      <c r="AH14" s="42">
        <f t="shared" ca="1" si="14"/>
        <v>4.0604010000000024E-2</v>
      </c>
      <c r="AI14" s="42">
        <f t="shared" ca="1" si="14"/>
        <v>4.0604010000000024E-2</v>
      </c>
      <c r="AJ14" s="42">
        <f t="shared" ca="1" si="14"/>
        <v>4.0604010000000024E-2</v>
      </c>
      <c r="AK14" s="42">
        <f t="shared" ca="1" si="14"/>
        <v>4.0604010000000024E-2</v>
      </c>
      <c r="AL14" s="42">
        <f t="shared" ca="1" si="14"/>
        <v>4.0604010000000246E-2</v>
      </c>
      <c r="AM14" s="42">
        <f t="shared" ca="1" si="14"/>
        <v>4.0604010000000246E-2</v>
      </c>
      <c r="AN14" s="42">
        <f t="shared" ca="1" si="15"/>
        <v>4.0604010000000024E-2</v>
      </c>
      <c r="AO14" s="42">
        <f t="shared" ca="1" si="15"/>
        <v>4.0604010000000024E-2</v>
      </c>
      <c r="AP14" s="42">
        <f t="shared" ca="1" si="15"/>
        <v>4.0604010000000024E-2</v>
      </c>
      <c r="AQ14" s="42">
        <f t="shared" ca="1" si="15"/>
        <v>4.0604010000000246E-2</v>
      </c>
      <c r="AR14" s="42">
        <f t="shared" ca="1" si="15"/>
        <v>4.0604010000000246E-2</v>
      </c>
      <c r="AS14" s="42">
        <f t="shared" ca="1" si="15"/>
        <v>4.0604010000000246E-2</v>
      </c>
      <c r="AT14" s="42">
        <f t="shared" ca="1" si="15"/>
        <v>4.0604010000000246E-2</v>
      </c>
      <c r="AU14" s="42">
        <f t="shared" ca="1" si="15"/>
        <v>4.0604010000000024E-2</v>
      </c>
      <c r="AV14" s="42">
        <f t="shared" ca="1" si="15"/>
        <v>4.0604010000000024E-2</v>
      </c>
      <c r="AW14" s="42">
        <f t="shared" ca="1" si="15"/>
        <v>4.0604009999999802E-2</v>
      </c>
      <c r="AX14" s="42">
        <f t="shared" ca="1" si="16"/>
        <v>4.0604009999999802E-2</v>
      </c>
      <c r="AY14" s="42">
        <f t="shared" ca="1" si="16"/>
        <v>4.0604010000000024E-2</v>
      </c>
      <c r="AZ14" s="42">
        <f t="shared" ca="1" si="16"/>
        <v>4.0604010000000024E-2</v>
      </c>
      <c r="BA14" s="42">
        <f t="shared" ca="1" si="16"/>
        <v>4.0604010000000024E-2</v>
      </c>
      <c r="BB14" s="8" t="s">
        <v>75</v>
      </c>
    </row>
    <row r="15" spans="1:57" s="25" customFormat="1" x14ac:dyDescent="0.2">
      <c r="B15" s="26" t="s">
        <v>9</v>
      </c>
      <c r="C15" s="45" t="s">
        <v>177</v>
      </c>
      <c r="D15" s="26"/>
      <c r="E15" s="11"/>
      <c r="F15" s="11"/>
      <c r="G15" s="27"/>
      <c r="H15" s="30" t="e">
        <f t="shared" ref="H15:N15" si="19">+H10/G10-1</f>
        <v>#DIV/0!</v>
      </c>
      <c r="I15" s="30">
        <f t="shared" ca="1" si="19"/>
        <v>0.48585504997770323</v>
      </c>
      <c r="J15" s="30">
        <f t="shared" ca="1" si="19"/>
        <v>4.0604010000000024E-2</v>
      </c>
      <c r="K15" s="30">
        <f t="shared" ca="1" si="19"/>
        <v>4.0604010000000246E-2</v>
      </c>
      <c r="L15" s="30">
        <f t="shared" ca="1" si="19"/>
        <v>4.0604010000000246E-2</v>
      </c>
      <c r="M15" s="30">
        <f t="shared" ca="1" si="19"/>
        <v>4.0604010000000024E-2</v>
      </c>
      <c r="N15" s="30">
        <f t="shared" ca="1" si="19"/>
        <v>4.0604010000000024E-2</v>
      </c>
      <c r="V15" s="42" t="str">
        <f t="shared" ref="V15:AC15" si="20">+IFERROR(V11/R11-1,"NM")</f>
        <v>NM</v>
      </c>
      <c r="W15" s="42" t="str">
        <f t="shared" si="20"/>
        <v>NM</v>
      </c>
      <c r="X15" s="42" t="str">
        <f t="shared" si="20"/>
        <v>NM</v>
      </c>
      <c r="Y15" s="42" t="str">
        <f t="shared" si="20"/>
        <v>NM</v>
      </c>
      <c r="Z15" s="42" t="str">
        <f t="shared" si="20"/>
        <v>NM</v>
      </c>
      <c r="AA15" s="42" t="str">
        <f t="shared" si="20"/>
        <v>NM</v>
      </c>
      <c r="AB15" s="42" t="str">
        <f t="shared" si="20"/>
        <v>NM</v>
      </c>
      <c r="AC15" s="42" t="str">
        <f t="shared" si="20"/>
        <v>NM</v>
      </c>
      <c r="AD15" s="42" t="str">
        <f t="shared" si="14"/>
        <v>NM</v>
      </c>
      <c r="AE15" s="42" t="str">
        <f t="shared" si="14"/>
        <v>NM</v>
      </c>
      <c r="AF15" s="42" t="str">
        <f t="shared" si="14"/>
        <v>NM</v>
      </c>
      <c r="AG15" s="42" t="str">
        <f t="shared" si="14"/>
        <v>NM</v>
      </c>
      <c r="AH15" s="42" t="str">
        <f t="shared" si="14"/>
        <v>NM</v>
      </c>
      <c r="AI15" s="42" t="str">
        <f t="shared" si="14"/>
        <v>NM</v>
      </c>
      <c r="AJ15" s="42" t="str">
        <f t="shared" si="14"/>
        <v>NM</v>
      </c>
      <c r="AK15" s="42" t="str">
        <f t="shared" si="14"/>
        <v>NM</v>
      </c>
      <c r="AL15" s="42">
        <f t="shared" si="14"/>
        <v>3.0000000000000027E-2</v>
      </c>
      <c r="AM15" s="42">
        <f t="shared" si="14"/>
        <v>3.0000000000000027E-2</v>
      </c>
      <c r="AN15" s="42">
        <f t="shared" si="15"/>
        <v>3.0000000000000027E-2</v>
      </c>
      <c r="AO15" s="42">
        <f t="shared" si="15"/>
        <v>3.0000000000000027E-2</v>
      </c>
      <c r="AP15" s="42">
        <f t="shared" si="15"/>
        <v>3.0000000000000027E-2</v>
      </c>
      <c r="AQ15" s="42">
        <f t="shared" si="15"/>
        <v>3.0000000000000027E-2</v>
      </c>
      <c r="AR15" s="42">
        <f t="shared" si="15"/>
        <v>3.0000000000000027E-2</v>
      </c>
      <c r="AS15" s="42">
        <f t="shared" si="15"/>
        <v>3.0000000000000027E-2</v>
      </c>
      <c r="AT15" s="42">
        <f t="shared" si="15"/>
        <v>3.0000000000000027E-2</v>
      </c>
      <c r="AU15" s="42">
        <f t="shared" si="15"/>
        <v>3.0000000000000027E-2</v>
      </c>
      <c r="AV15" s="42">
        <f t="shared" si="15"/>
        <v>3.0000000000000027E-2</v>
      </c>
      <c r="AW15" s="42">
        <f t="shared" si="15"/>
        <v>3.0000000000000027E-2</v>
      </c>
      <c r="AX15" s="42">
        <f t="shared" si="16"/>
        <v>3.0000000000000027E-2</v>
      </c>
      <c r="AY15" s="42">
        <f t="shared" si="16"/>
        <v>3.0000000000000027E-2</v>
      </c>
      <c r="AZ15" s="42">
        <f t="shared" si="16"/>
        <v>3.0000000000000027E-2</v>
      </c>
      <c r="BA15" s="42">
        <f t="shared" si="16"/>
        <v>3.0000000000000027E-2</v>
      </c>
      <c r="BB15" s="8" t="s">
        <v>75</v>
      </c>
    </row>
    <row r="16" spans="1:57" s="25" customFormat="1" x14ac:dyDescent="0.2">
      <c r="B16" s="26"/>
      <c r="C16" s="26"/>
      <c r="D16" s="26"/>
      <c r="E16" s="11"/>
      <c r="F16" s="11"/>
      <c r="G16" s="27"/>
      <c r="H16" s="27"/>
      <c r="I16" s="27"/>
      <c r="J16" s="27"/>
      <c r="K16" s="27"/>
      <c r="L16" s="27"/>
      <c r="M16" s="27"/>
      <c r="N16" s="27"/>
      <c r="O16" s="27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BB16" s="8" t="s">
        <v>75</v>
      </c>
    </row>
    <row r="17" spans="1:57" s="25" customFormat="1" x14ac:dyDescent="0.2">
      <c r="B17" s="33" t="s">
        <v>203</v>
      </c>
      <c r="C17" s="45" t="s">
        <v>177</v>
      </c>
      <c r="D17" s="33"/>
      <c r="E17" s="11"/>
      <c r="F17" s="11"/>
      <c r="G17" s="27"/>
      <c r="H17" s="115" t="s">
        <v>147</v>
      </c>
      <c r="I17" s="115" t="s">
        <v>147</v>
      </c>
      <c r="J17" s="115" t="s">
        <v>147</v>
      </c>
      <c r="K17" s="115" t="s">
        <v>147</v>
      </c>
      <c r="L17" s="115" t="s">
        <v>147</v>
      </c>
      <c r="M17" s="115" t="s">
        <v>147</v>
      </c>
      <c r="N17" s="115" t="s">
        <v>147</v>
      </c>
      <c r="O17" s="27"/>
      <c r="S17" s="42" t="str">
        <f>+IFERROR(S9/R9-1,"NM")</f>
        <v>NM</v>
      </c>
      <c r="T17" s="42" t="str">
        <f t="shared" ref="T17:AC17" si="21">+IFERROR(T9/S9-1,"NM")</f>
        <v>NM</v>
      </c>
      <c r="U17" s="42" t="str">
        <f t="shared" si="21"/>
        <v>NM</v>
      </c>
      <c r="V17" s="42" t="str">
        <f t="shared" si="21"/>
        <v>NM</v>
      </c>
      <c r="W17" s="42" t="str">
        <f t="shared" si="21"/>
        <v>NM</v>
      </c>
      <c r="X17" s="42" t="str">
        <f t="shared" si="21"/>
        <v>NM</v>
      </c>
      <c r="Y17" s="42" t="str">
        <f t="shared" si="21"/>
        <v>NM</v>
      </c>
      <c r="Z17" s="42" t="str">
        <f t="shared" si="21"/>
        <v>NM</v>
      </c>
      <c r="AA17" s="42" t="str">
        <f t="shared" si="21"/>
        <v>NM</v>
      </c>
      <c r="AB17" s="42">
        <f t="shared" si="21"/>
        <v>0.64786726584785881</v>
      </c>
      <c r="AC17" s="42">
        <f t="shared" si="21"/>
        <v>-8.7035625332345545E-2</v>
      </c>
      <c r="AD17" s="30">
        <f t="shared" ref="AD17:BA17" ca="1" si="22">+AD9/AC9-1</f>
        <v>1.0000000000000009E-2</v>
      </c>
      <c r="AE17" s="30">
        <f t="shared" ca="1" si="22"/>
        <v>1.0000000000000009E-2</v>
      </c>
      <c r="AF17" s="30">
        <f t="shared" ca="1" si="22"/>
        <v>1.0000000000000009E-2</v>
      </c>
      <c r="AG17" s="30">
        <f t="shared" ca="1" si="22"/>
        <v>1.0000000000000009E-2</v>
      </c>
      <c r="AH17" s="30">
        <f t="shared" ca="1" si="22"/>
        <v>1.5937777773761357</v>
      </c>
      <c r="AI17" s="30">
        <f t="shared" ca="1" si="22"/>
        <v>3.8939342021107048E-3</v>
      </c>
      <c r="AJ17" s="30">
        <f t="shared" ca="1" si="22"/>
        <v>3.9176185950937636E-3</v>
      </c>
      <c r="AK17" s="30">
        <f t="shared" ca="1" si="22"/>
        <v>3.9413540590929053E-3</v>
      </c>
      <c r="AL17" s="30">
        <f t="shared" ca="1" si="22"/>
        <v>2.2069720838594931E-2</v>
      </c>
      <c r="AM17" s="30">
        <f t="shared" ca="1" si="22"/>
        <v>3.918314861361516E-3</v>
      </c>
      <c r="AN17" s="30">
        <f t="shared" ca="1" si="22"/>
        <v>3.9420518097847967E-3</v>
      </c>
      <c r="AO17" s="30">
        <f t="shared" ca="1" si="22"/>
        <v>3.9658387859193844E-3</v>
      </c>
      <c r="AP17" s="30">
        <f t="shared" ca="1" si="22"/>
        <v>2.2020650466310299E-2</v>
      </c>
      <c r="AQ17" s="30">
        <f t="shared" ca="1" si="22"/>
        <v>3.9427496036159582E-3</v>
      </c>
      <c r="AR17" s="30">
        <f t="shared" ca="1" si="22"/>
        <v>3.9665380333930855E-3</v>
      </c>
      <c r="AS17" s="30">
        <f t="shared" ca="1" si="22"/>
        <v>3.990375437785465E-3</v>
      </c>
      <c r="AT17" s="30">
        <f t="shared" ca="1" si="22"/>
        <v>2.1971478430943936E-2</v>
      </c>
      <c r="AU17" s="30">
        <f t="shared" ca="1" si="22"/>
        <v>3.9672373230983382E-3</v>
      </c>
      <c r="AV17" s="30">
        <f t="shared" ca="1" si="22"/>
        <v>3.9910761500674408E-3</v>
      </c>
      <c r="AW17" s="30">
        <f t="shared" ca="1" si="22"/>
        <v>4.0149628889387667E-3</v>
      </c>
      <c r="AX17" s="30">
        <f t="shared" ca="1" si="22"/>
        <v>2.1922207003449712E-2</v>
      </c>
      <c r="AY17" s="30">
        <f t="shared" ca="1" si="22"/>
        <v>3.991776903664368E-3</v>
      </c>
      <c r="AZ17" s="30">
        <f t="shared" ca="1" si="22"/>
        <v>4.0156650337663802E-3</v>
      </c>
      <c r="BA17" s="30">
        <f t="shared" ca="1" si="22"/>
        <v>4.039600003618915E-3</v>
      </c>
      <c r="BB17" s="8" t="s">
        <v>75</v>
      </c>
    </row>
    <row r="18" spans="1:57" s="25" customFormat="1" x14ac:dyDescent="0.2">
      <c r="B18" s="26" t="s">
        <v>12</v>
      </c>
      <c r="C18" s="45" t="s">
        <v>177</v>
      </c>
      <c r="D18" s="33"/>
      <c r="E18" s="11"/>
      <c r="F18" s="11"/>
      <c r="G18" s="27"/>
      <c r="H18" s="115" t="s">
        <v>147</v>
      </c>
      <c r="I18" s="115" t="s">
        <v>147</v>
      </c>
      <c r="J18" s="115" t="s">
        <v>147</v>
      </c>
      <c r="K18" s="115" t="s">
        <v>147</v>
      </c>
      <c r="L18" s="115" t="s">
        <v>147</v>
      </c>
      <c r="M18" s="115" t="s">
        <v>147</v>
      </c>
      <c r="N18" s="115" t="s">
        <v>147</v>
      </c>
      <c r="O18" s="27"/>
      <c r="S18" s="42" t="str">
        <f t="shared" ref="S18:AC18" si="23">+IFERROR(S10/R10-1,"NM")</f>
        <v>NM</v>
      </c>
      <c r="T18" s="42" t="str">
        <f t="shared" si="23"/>
        <v>NM</v>
      </c>
      <c r="U18" s="42" t="str">
        <f t="shared" si="23"/>
        <v>NM</v>
      </c>
      <c r="V18" s="42" t="str">
        <f t="shared" si="23"/>
        <v>NM</v>
      </c>
      <c r="W18" s="42" t="str">
        <f t="shared" si="23"/>
        <v>NM</v>
      </c>
      <c r="X18" s="42" t="str">
        <f t="shared" si="23"/>
        <v>NM</v>
      </c>
      <c r="Y18" s="42" t="str">
        <f t="shared" si="23"/>
        <v>NM</v>
      </c>
      <c r="Z18" s="42" t="str">
        <f t="shared" si="23"/>
        <v>NM</v>
      </c>
      <c r="AA18" s="42" t="str">
        <f t="shared" si="23"/>
        <v>NM</v>
      </c>
      <c r="AB18" s="42">
        <f t="shared" si="23"/>
        <v>0.64786726584785881</v>
      </c>
      <c r="AC18" s="42">
        <f t="shared" si="23"/>
        <v>-8.7035625332345545E-2</v>
      </c>
      <c r="AD18" s="86">
        <f ca="1">+SUMIFS(Drivers!$47:$47,Drivers!$3:$3,Santos!AD$3)</f>
        <v>0.01</v>
      </c>
      <c r="AE18" s="86">
        <f ca="1">+SUMIFS(Drivers!$47:$47,Drivers!$3:$3,Santos!AE$3)</f>
        <v>0.01</v>
      </c>
      <c r="AF18" s="86">
        <f ca="1">+SUMIFS(Drivers!$47:$47,Drivers!$3:$3,Santos!AF$3)</f>
        <v>0.01</v>
      </c>
      <c r="AG18" s="86">
        <f ca="1">+SUMIFS(Drivers!$47:$47,Drivers!$3:$3,Santos!AG$3)</f>
        <v>0.01</v>
      </c>
      <c r="AH18" s="86">
        <f ca="1">+SUMIFS(Drivers!$47:$47,Drivers!$3:$3,Santos!AH$3)</f>
        <v>0.01</v>
      </c>
      <c r="AI18" s="86">
        <f ca="1">+SUMIFS(Drivers!$47:$47,Drivers!$3:$3,Santos!AI$3)</f>
        <v>0.01</v>
      </c>
      <c r="AJ18" s="86">
        <f ca="1">+SUMIFS(Drivers!$47:$47,Drivers!$3:$3,Santos!AJ$3)</f>
        <v>0.01</v>
      </c>
      <c r="AK18" s="86">
        <f ca="1">+SUMIFS(Drivers!$47:$47,Drivers!$3:$3,Santos!AK$3)</f>
        <v>0.01</v>
      </c>
      <c r="AL18" s="86">
        <f ca="1">+SUMIFS(Drivers!$47:$47,Drivers!$3:$3,Santos!AL$3)</f>
        <v>0.01</v>
      </c>
      <c r="AM18" s="86">
        <f ca="1">+SUMIFS(Drivers!$47:$47,Drivers!$3:$3,Santos!AM$3)</f>
        <v>0.01</v>
      </c>
      <c r="AN18" s="86">
        <f ca="1">+SUMIFS(Drivers!$47:$47,Drivers!$3:$3,Santos!AN$3)</f>
        <v>0.01</v>
      </c>
      <c r="AO18" s="86">
        <f ca="1">+SUMIFS(Drivers!$47:$47,Drivers!$3:$3,Santos!AO$3)</f>
        <v>0.01</v>
      </c>
      <c r="AP18" s="86">
        <f ca="1">+SUMIFS(Drivers!$47:$47,Drivers!$3:$3,Santos!AP$3)</f>
        <v>0.01</v>
      </c>
      <c r="AQ18" s="86">
        <f ca="1">+SUMIFS(Drivers!$47:$47,Drivers!$3:$3,Santos!AQ$3)</f>
        <v>0.01</v>
      </c>
      <c r="AR18" s="86">
        <f ca="1">+SUMIFS(Drivers!$47:$47,Drivers!$3:$3,Santos!AR$3)</f>
        <v>0.01</v>
      </c>
      <c r="AS18" s="86">
        <f ca="1">+SUMIFS(Drivers!$47:$47,Drivers!$3:$3,Santos!AS$3)</f>
        <v>0.01</v>
      </c>
      <c r="AT18" s="86">
        <f ca="1">+SUMIFS(Drivers!$47:$47,Drivers!$3:$3,Santos!AT$3)</f>
        <v>0.01</v>
      </c>
      <c r="AU18" s="86">
        <f ca="1">+SUMIFS(Drivers!$47:$47,Drivers!$3:$3,Santos!AU$3)</f>
        <v>0.01</v>
      </c>
      <c r="AV18" s="86">
        <f ca="1">+SUMIFS(Drivers!$47:$47,Drivers!$3:$3,Santos!AV$3)</f>
        <v>0.01</v>
      </c>
      <c r="AW18" s="86">
        <f ca="1">+SUMIFS(Drivers!$47:$47,Drivers!$3:$3,Santos!AW$3)</f>
        <v>0.01</v>
      </c>
      <c r="AX18" s="86">
        <f ca="1">+SUMIFS(Drivers!$47:$47,Drivers!$3:$3,Santos!AX$3)</f>
        <v>0.01</v>
      </c>
      <c r="AY18" s="86">
        <f ca="1">+SUMIFS(Drivers!$47:$47,Drivers!$3:$3,Santos!AY$3)</f>
        <v>0.01</v>
      </c>
      <c r="AZ18" s="86">
        <f ca="1">+SUMIFS(Drivers!$47:$47,Drivers!$3:$3,Santos!AZ$3)</f>
        <v>0.01</v>
      </c>
      <c r="BA18" s="86">
        <f ca="1">+SUMIFS(Drivers!$47:$47,Drivers!$3:$3,Santos!BA$3)</f>
        <v>0.01</v>
      </c>
      <c r="BB18" s="8" t="s">
        <v>75</v>
      </c>
    </row>
    <row r="19" spans="1:57" s="25" customFormat="1" x14ac:dyDescent="0.2">
      <c r="B19" s="26" t="s">
        <v>9</v>
      </c>
      <c r="C19" s="45" t="s">
        <v>177</v>
      </c>
      <c r="D19" s="26"/>
      <c r="E19" s="11"/>
      <c r="F19" s="11"/>
      <c r="G19" s="27"/>
      <c r="H19" s="115" t="s">
        <v>147</v>
      </c>
      <c r="I19" s="115" t="s">
        <v>147</v>
      </c>
      <c r="J19" s="115" t="s">
        <v>147</v>
      </c>
      <c r="K19" s="115" t="s">
        <v>147</v>
      </c>
      <c r="L19" s="115" t="s">
        <v>147</v>
      </c>
      <c r="M19" s="115" t="s">
        <v>147</v>
      </c>
      <c r="N19" s="115" t="s">
        <v>147</v>
      </c>
      <c r="O19" s="27"/>
      <c r="S19" s="42" t="str">
        <f t="shared" ref="S19:AC19" si="24">+IFERROR(S11/R11-1,"NM")</f>
        <v>NM</v>
      </c>
      <c r="T19" s="42" t="str">
        <f t="shared" si="24"/>
        <v>NM</v>
      </c>
      <c r="U19" s="42" t="str">
        <f t="shared" si="24"/>
        <v>NM</v>
      </c>
      <c r="V19" s="42" t="str">
        <f t="shared" si="24"/>
        <v>NM</v>
      </c>
      <c r="W19" s="42" t="str">
        <f t="shared" si="24"/>
        <v>NM</v>
      </c>
      <c r="X19" s="42" t="str">
        <f t="shared" si="24"/>
        <v>NM</v>
      </c>
      <c r="Y19" s="42" t="str">
        <f t="shared" si="24"/>
        <v>NM</v>
      </c>
      <c r="Z19" s="42" t="str">
        <f t="shared" si="24"/>
        <v>NM</v>
      </c>
      <c r="AA19" s="42" t="str">
        <f t="shared" si="24"/>
        <v>NM</v>
      </c>
      <c r="AB19" s="42" t="str">
        <f t="shared" si="24"/>
        <v>NM</v>
      </c>
      <c r="AC19" s="42" t="str">
        <f t="shared" si="24"/>
        <v>NM</v>
      </c>
      <c r="AD19" s="30">
        <f t="shared" ref="AD19:BA19" ca="1" si="25">+AD10/AC10-1</f>
        <v>1.0000000000000009E-2</v>
      </c>
      <c r="AE19" s="30">
        <f t="shared" ca="1" si="25"/>
        <v>1.0000000000000009E-2</v>
      </c>
      <c r="AF19" s="30">
        <f t="shared" ca="1" si="25"/>
        <v>1.0000000000000009E-2</v>
      </c>
      <c r="AG19" s="30">
        <f t="shared" ca="1" si="25"/>
        <v>1.0000000000000009E-2</v>
      </c>
      <c r="AH19" s="30">
        <f t="shared" ca="1" si="25"/>
        <v>1.0000000000000009E-2</v>
      </c>
      <c r="AI19" s="30">
        <f t="shared" ca="1" si="25"/>
        <v>1.0000000000000009E-2</v>
      </c>
      <c r="AJ19" s="30">
        <f t="shared" ca="1" si="25"/>
        <v>1.0000000000000009E-2</v>
      </c>
      <c r="AK19" s="30">
        <f t="shared" ca="1" si="25"/>
        <v>1.0000000000000009E-2</v>
      </c>
      <c r="AL19" s="30">
        <f t="shared" ca="1" si="25"/>
        <v>1.0000000000000009E-2</v>
      </c>
      <c r="AM19" s="30">
        <f t="shared" ca="1" si="25"/>
        <v>1.0000000000000009E-2</v>
      </c>
      <c r="AN19" s="30">
        <f t="shared" ca="1" si="25"/>
        <v>1.0000000000000009E-2</v>
      </c>
      <c r="AO19" s="30">
        <f t="shared" ca="1" si="25"/>
        <v>1.0000000000000009E-2</v>
      </c>
      <c r="AP19" s="30">
        <f t="shared" ca="1" si="25"/>
        <v>1.0000000000000009E-2</v>
      </c>
      <c r="AQ19" s="30">
        <f t="shared" ca="1" si="25"/>
        <v>1.0000000000000009E-2</v>
      </c>
      <c r="AR19" s="30">
        <f t="shared" ca="1" si="25"/>
        <v>1.0000000000000009E-2</v>
      </c>
      <c r="AS19" s="30">
        <f t="shared" ca="1" si="25"/>
        <v>1.0000000000000009E-2</v>
      </c>
      <c r="AT19" s="30">
        <f t="shared" ca="1" si="25"/>
        <v>1.0000000000000009E-2</v>
      </c>
      <c r="AU19" s="30">
        <f t="shared" ca="1" si="25"/>
        <v>1.0000000000000009E-2</v>
      </c>
      <c r="AV19" s="30">
        <f t="shared" ca="1" si="25"/>
        <v>1.0000000000000009E-2</v>
      </c>
      <c r="AW19" s="30">
        <f t="shared" ca="1" si="25"/>
        <v>1.0000000000000009E-2</v>
      </c>
      <c r="AX19" s="30">
        <f t="shared" ca="1" si="25"/>
        <v>1.0000000000000009E-2</v>
      </c>
      <c r="AY19" s="30">
        <f t="shared" ca="1" si="25"/>
        <v>1.0000000000000009E-2</v>
      </c>
      <c r="AZ19" s="30">
        <f t="shared" ca="1" si="25"/>
        <v>1.0000000000000009E-2</v>
      </c>
      <c r="BA19" s="30">
        <f t="shared" ca="1" si="25"/>
        <v>1.0000000000000009E-2</v>
      </c>
      <c r="BB19" s="8" t="s">
        <v>75</v>
      </c>
    </row>
    <row r="20" spans="1:57" x14ac:dyDescent="0.2">
      <c r="B20" s="19"/>
      <c r="C20" s="19"/>
      <c r="D20" s="19"/>
      <c r="E20" s="11"/>
      <c r="F20" s="11"/>
      <c r="G20" s="11"/>
      <c r="H20" s="11"/>
      <c r="I20" s="11"/>
      <c r="J20" s="11"/>
      <c r="K20" s="11"/>
      <c r="L20" s="11"/>
      <c r="M20" s="11"/>
      <c r="N20" s="11"/>
      <c r="R20" s="25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BB20" s="8" t="s">
        <v>75</v>
      </c>
    </row>
    <row r="21" spans="1:57" s="35" customFormat="1" x14ac:dyDescent="0.2">
      <c r="A21" s="17" t="s">
        <v>75</v>
      </c>
      <c r="B21" s="36" t="s">
        <v>214</v>
      </c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37"/>
      <c r="P21" s="37"/>
      <c r="Q21" s="37"/>
      <c r="U21" s="37"/>
      <c r="V21" s="37"/>
      <c r="W21" s="37"/>
      <c r="X21" s="37"/>
      <c r="Y21" s="44"/>
      <c r="Z21" s="44"/>
      <c r="AA21" s="44"/>
      <c r="AB21" s="44"/>
      <c r="AC21" s="44"/>
      <c r="AD21" s="44"/>
      <c r="AE21" s="44"/>
      <c r="AF21" s="44"/>
      <c r="BB21" s="90" t="s">
        <v>75</v>
      </c>
      <c r="BE21" s="90"/>
    </row>
    <row r="22" spans="1:57" x14ac:dyDescent="0.2">
      <c r="B22" s="2" t="s">
        <v>132</v>
      </c>
      <c r="C22" s="45" t="s">
        <v>187</v>
      </c>
      <c r="D22" s="2"/>
      <c r="E22" s="11"/>
      <c r="F22" s="11"/>
      <c r="G22" s="13">
        <f t="shared" ref="G22:N22" si="26">+SUMIFS(22:22,$6:$6,G$3)</f>
        <v>0</v>
      </c>
      <c r="H22" s="13">
        <f t="shared" si="26"/>
        <v>39.761127330000001</v>
      </c>
      <c r="I22" s="13">
        <f t="shared" ca="1" si="26"/>
        <v>60.653404662308745</v>
      </c>
      <c r="J22" s="13">
        <f t="shared" ca="1" si="26"/>
        <v>121.75185216168281</v>
      </c>
      <c r="K22" s="13">
        <f t="shared" ca="1" si="26"/>
        <v>128.8327078235327</v>
      </c>
      <c r="L22" s="13">
        <f t="shared" ca="1" si="26"/>
        <v>136.4078919997965</v>
      </c>
      <c r="M22" s="13">
        <f t="shared" ca="1" si="26"/>
        <v>144.51541490104518</v>
      </c>
      <c r="N22" s="13">
        <f t="shared" ca="1" si="26"/>
        <v>153.19633312235916</v>
      </c>
      <c r="P22" s="97"/>
      <c r="R22" s="25"/>
      <c r="S22" s="25"/>
      <c r="T22" s="25"/>
      <c r="U22" s="25"/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7.2582894000000007</v>
      </c>
      <c r="AB22" s="16">
        <v>17.787665489999995</v>
      </c>
      <c r="AC22" s="16">
        <v>14.715172440000003</v>
      </c>
      <c r="AD22" s="24">
        <f ca="1">+AD36+AD10*AD38/1000</f>
        <v>14.937786849700002</v>
      </c>
      <c r="AE22" s="24">
        <f t="shared" ref="AE22:BA22" ca="1" si="27">+AE36+AE10*AE38/1000</f>
        <v>15.087164718197002</v>
      </c>
      <c r="AF22" s="24">
        <f t="shared" ca="1" si="27"/>
        <v>15.238036365378973</v>
      </c>
      <c r="AG22" s="24">
        <f t="shared" ca="1" si="27"/>
        <v>15.390416729032763</v>
      </c>
      <c r="AH22" s="24">
        <f t="shared" ca="1" si="27"/>
        <v>30.19385098354141</v>
      </c>
      <c r="AI22" s="24">
        <f t="shared" ca="1" si="27"/>
        <v>30.355511920863172</v>
      </c>
      <c r="AJ22" s="24">
        <f t="shared" ca="1" si="27"/>
        <v>30.51878946755815</v>
      </c>
      <c r="AK22" s="24">
        <f t="shared" ca="1" si="27"/>
        <v>30.68369978972008</v>
      </c>
      <c r="AL22" s="24">
        <f t="shared" ca="1" si="27"/>
        <v>31.943992011194119</v>
      </c>
      <c r="AM22" s="24">
        <f t="shared" ca="1" si="27"/>
        <v>32.118946031617</v>
      </c>
      <c r="AN22" s="24">
        <f t="shared" ca="1" si="27"/>
        <v>32.295649592244104</v>
      </c>
      <c r="AO22" s="24">
        <f t="shared" ca="1" si="27"/>
        <v>32.474120188477485</v>
      </c>
      <c r="AP22" s="24">
        <f t="shared" ca="1" si="27"/>
        <v>33.816064610611058</v>
      </c>
      <c r="AQ22" s="24">
        <f t="shared" ca="1" si="27"/>
        <v>34.005404780037438</v>
      </c>
      <c r="AR22" s="24">
        <f t="shared" ca="1" si="27"/>
        <v>34.196638351158072</v>
      </c>
      <c r="AS22" s="24">
        <f t="shared" ca="1" si="27"/>
        <v>34.389784257989923</v>
      </c>
      <c r="AT22" s="24">
        <f t="shared" ca="1" si="27"/>
        <v>35.819435612165954</v>
      </c>
      <c r="AU22" s="24">
        <f t="shared" ca="1" si="27"/>
        <v>36.024344877307485</v>
      </c>
      <c r="AV22" s="24">
        <f t="shared" ca="1" si="27"/>
        <v>36.231303235100427</v>
      </c>
      <c r="AW22" s="24">
        <f t="shared" ca="1" si="27"/>
        <v>36.440331176471311</v>
      </c>
      <c r="AX22" s="24">
        <f t="shared" ca="1" si="27"/>
        <v>37.964222282166006</v>
      </c>
      <c r="AY22" s="24">
        <f t="shared" ca="1" si="27"/>
        <v>38.185980861278125</v>
      </c>
      <c r="AZ22" s="24">
        <f t="shared" ca="1" si="27"/>
        <v>38.409957026181381</v>
      </c>
      <c r="BA22" s="24">
        <f t="shared" ca="1" si="27"/>
        <v>38.636172952733659</v>
      </c>
      <c r="BB22" s="8" t="s">
        <v>75</v>
      </c>
    </row>
    <row r="23" spans="1:57" x14ac:dyDescent="0.2">
      <c r="B23" s="2" t="s">
        <v>136</v>
      </c>
      <c r="C23" s="45" t="s">
        <v>187</v>
      </c>
      <c r="D23" s="2"/>
      <c r="E23" s="11"/>
      <c r="F23" s="11"/>
      <c r="G23" s="13"/>
      <c r="H23" s="13"/>
      <c r="R23" s="25"/>
      <c r="S23" s="25"/>
      <c r="T23" s="25"/>
      <c r="U23" s="25"/>
      <c r="V23" s="16">
        <v>0</v>
      </c>
      <c r="W23" s="16">
        <v>0</v>
      </c>
      <c r="X23" s="16">
        <v>0</v>
      </c>
      <c r="Y23" s="16">
        <v>0</v>
      </c>
      <c r="Z23" s="16">
        <v>-1.05855393</v>
      </c>
      <c r="AA23" s="16">
        <v>-10.680014130000002</v>
      </c>
      <c r="AB23" s="16">
        <v>-13.963676699999997</v>
      </c>
      <c r="AC23" s="16">
        <v>-5.318349419999997</v>
      </c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8" t="s">
        <v>75</v>
      </c>
    </row>
    <row r="24" spans="1:57" x14ac:dyDescent="0.2">
      <c r="B24" s="1" t="s">
        <v>137</v>
      </c>
      <c r="C24" s="45" t="s">
        <v>187</v>
      </c>
      <c r="E24" s="11"/>
      <c r="F24" s="11"/>
      <c r="G24" s="11"/>
      <c r="H24" s="11"/>
      <c r="R24" s="25"/>
      <c r="S24" s="25"/>
      <c r="T24" s="25"/>
      <c r="U24" s="25"/>
      <c r="V24" s="12">
        <v>0</v>
      </c>
      <c r="W24" s="12">
        <v>0</v>
      </c>
      <c r="X24" s="12">
        <v>0</v>
      </c>
      <c r="Y24" s="12">
        <v>0</v>
      </c>
      <c r="Z24" s="12">
        <v>-0.38728736000000002</v>
      </c>
      <c r="AA24" s="12">
        <v>-0.39478116999999985</v>
      </c>
      <c r="AB24" s="12">
        <v>0.10181374999999993</v>
      </c>
      <c r="AC24" s="12">
        <v>-0.25108763999999995</v>
      </c>
      <c r="BB24" s="8" t="s">
        <v>75</v>
      </c>
    </row>
    <row r="25" spans="1:57" x14ac:dyDescent="0.2">
      <c r="B25" s="1" t="s">
        <v>138</v>
      </c>
      <c r="C25" s="45" t="s">
        <v>187</v>
      </c>
      <c r="E25" s="11"/>
      <c r="F25" s="11"/>
      <c r="G25" s="11"/>
      <c r="H25" s="11"/>
      <c r="R25" s="25"/>
      <c r="S25" s="25"/>
      <c r="T25" s="25"/>
      <c r="U25" s="25"/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3.2049999999999999E-3</v>
      </c>
      <c r="AB25" s="12">
        <v>0</v>
      </c>
      <c r="AC25" s="12">
        <v>0</v>
      </c>
      <c r="BB25" s="8" t="s">
        <v>75</v>
      </c>
    </row>
    <row r="26" spans="1:57" x14ac:dyDescent="0.2">
      <c r="B26" s="1" t="s">
        <v>14</v>
      </c>
      <c r="C26" s="45" t="s">
        <v>187</v>
      </c>
      <c r="E26" s="11"/>
      <c r="F26" s="11"/>
      <c r="G26" s="11"/>
      <c r="H26" s="11"/>
      <c r="R26" s="25"/>
      <c r="S26" s="25"/>
      <c r="T26" s="25"/>
      <c r="U26" s="25"/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BB26" s="8" t="s">
        <v>75</v>
      </c>
    </row>
    <row r="27" spans="1:57" s="2" customFormat="1" x14ac:dyDescent="0.2">
      <c r="B27" s="18" t="s">
        <v>140</v>
      </c>
      <c r="C27" s="45" t="s">
        <v>187</v>
      </c>
      <c r="D27" s="18"/>
      <c r="E27" s="11"/>
      <c r="F27" s="11"/>
      <c r="G27" s="13"/>
      <c r="H27" s="13"/>
      <c r="I27" s="1"/>
      <c r="J27" s="1"/>
      <c r="K27" s="1"/>
      <c r="L27" s="1"/>
      <c r="M27" s="1"/>
      <c r="N27" s="1"/>
      <c r="O27" s="1"/>
      <c r="R27" s="25"/>
      <c r="S27" s="25"/>
      <c r="T27" s="25"/>
      <c r="U27" s="25"/>
      <c r="V27" s="24">
        <f t="shared" ref="V27:AC27" si="28">+SUM(V22:V26)</f>
        <v>0</v>
      </c>
      <c r="W27" s="24">
        <f t="shared" si="28"/>
        <v>0</v>
      </c>
      <c r="X27" s="24">
        <f t="shared" si="28"/>
        <v>0</v>
      </c>
      <c r="Y27" s="24">
        <f t="shared" si="28"/>
        <v>0</v>
      </c>
      <c r="Z27" s="24">
        <f t="shared" si="28"/>
        <v>-1.4458412899999999</v>
      </c>
      <c r="AA27" s="24">
        <f t="shared" si="28"/>
        <v>-3.8133009000000011</v>
      </c>
      <c r="AB27" s="24">
        <f t="shared" si="28"/>
        <v>3.9258025399999976</v>
      </c>
      <c r="AC27" s="24">
        <f t="shared" si="28"/>
        <v>9.1457353800000067</v>
      </c>
      <c r="BB27" s="8" t="s">
        <v>75</v>
      </c>
    </row>
    <row r="28" spans="1:57" s="25" customFormat="1" x14ac:dyDescent="0.2">
      <c r="B28" s="26" t="s">
        <v>141</v>
      </c>
      <c r="C28" s="45" t="s">
        <v>177</v>
      </c>
      <c r="D28" s="26"/>
      <c r="E28" s="11"/>
      <c r="F28" s="11"/>
      <c r="G28" s="30"/>
      <c r="H28" s="30"/>
      <c r="I28" s="1"/>
      <c r="J28" s="1"/>
      <c r="K28" s="1"/>
      <c r="L28" s="1"/>
      <c r="M28" s="1"/>
      <c r="N28" s="1"/>
      <c r="O28" s="1"/>
      <c r="V28" s="42" t="str">
        <f t="shared" ref="V28:AC28" si="29">+IFERROR(V27/V22,"NM")</f>
        <v>NM</v>
      </c>
      <c r="W28" s="42" t="str">
        <f t="shared" si="29"/>
        <v>NM</v>
      </c>
      <c r="X28" s="42" t="str">
        <f t="shared" si="29"/>
        <v>NM</v>
      </c>
      <c r="Y28" s="42" t="str">
        <f t="shared" si="29"/>
        <v>NM</v>
      </c>
      <c r="Z28" s="42" t="str">
        <f t="shared" si="29"/>
        <v>NM</v>
      </c>
      <c r="AA28" s="42">
        <f t="shared" si="29"/>
        <v>-0.52537184587872743</v>
      </c>
      <c r="AB28" s="42">
        <f t="shared" si="29"/>
        <v>0.22070364108247004</v>
      </c>
      <c r="AC28" s="42">
        <f t="shared" si="29"/>
        <v>0.62151737720309075</v>
      </c>
      <c r="BB28" s="8" t="s">
        <v>75</v>
      </c>
    </row>
    <row r="29" spans="1:57" x14ac:dyDescent="0.2">
      <c r="B29" s="1" t="s">
        <v>142</v>
      </c>
      <c r="C29" s="45" t="s">
        <v>187</v>
      </c>
      <c r="E29" s="11"/>
      <c r="F29" s="11"/>
      <c r="G29" s="11"/>
      <c r="H29" s="11"/>
      <c r="R29" s="25"/>
      <c r="S29" s="25"/>
      <c r="T29" s="25"/>
      <c r="U29" s="25"/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0.29970000000000008</v>
      </c>
      <c r="AB29" s="12">
        <v>0</v>
      </c>
      <c r="AC29" s="12">
        <v>0</v>
      </c>
      <c r="BB29" s="8" t="s">
        <v>75</v>
      </c>
    </row>
    <row r="30" spans="1:57" s="2" customFormat="1" x14ac:dyDescent="0.2">
      <c r="B30" s="18" t="s">
        <v>4</v>
      </c>
      <c r="C30" s="45" t="s">
        <v>187</v>
      </c>
      <c r="D30" s="18"/>
      <c r="E30" s="11"/>
      <c r="F30" s="11"/>
      <c r="G30" s="13">
        <f t="shared" ref="G30:N30" si="30">+SUMIFS(30:30,$6:$6,G$3)</f>
        <v>0</v>
      </c>
      <c r="H30" s="13">
        <f t="shared" si="30"/>
        <v>8.1120957300000036</v>
      </c>
      <c r="I30" s="13">
        <f t="shared" ca="1" si="30"/>
        <v>33.359372564269812</v>
      </c>
      <c r="J30" s="13">
        <f t="shared" ca="1" si="30"/>
        <v>67.876657580138172</v>
      </c>
      <c r="K30" s="13">
        <f t="shared" ca="1" si="30"/>
        <v>72.790479920295979</v>
      </c>
      <c r="L30" s="13">
        <f t="shared" ca="1" si="30"/>
        <v>78.093518169883481</v>
      </c>
      <c r="M30" s="13">
        <f t="shared" ca="1" si="30"/>
        <v>83.818940642606179</v>
      </c>
      <c r="N30" s="13">
        <f t="shared" ca="1" si="30"/>
        <v>90.002845709385994</v>
      </c>
      <c r="P30" s="97"/>
      <c r="R30" s="25"/>
      <c r="S30" s="25"/>
      <c r="T30" s="25"/>
      <c r="U30" s="25"/>
      <c r="V30" s="24">
        <f t="shared" ref="V30:AC30" si="31">+V27+V29</f>
        <v>0</v>
      </c>
      <c r="W30" s="24">
        <f t="shared" si="31"/>
        <v>0</v>
      </c>
      <c r="X30" s="24">
        <f t="shared" si="31"/>
        <v>0</v>
      </c>
      <c r="Y30" s="24">
        <f t="shared" si="31"/>
        <v>0</v>
      </c>
      <c r="Z30" s="24">
        <f t="shared" si="31"/>
        <v>-1.4458412899999999</v>
      </c>
      <c r="AA30" s="24">
        <f t="shared" si="31"/>
        <v>-3.513600900000001</v>
      </c>
      <c r="AB30" s="24">
        <f t="shared" si="31"/>
        <v>3.9258025399999976</v>
      </c>
      <c r="AC30" s="24">
        <f t="shared" si="31"/>
        <v>9.1457353800000067</v>
      </c>
      <c r="AD30" s="114">
        <f ca="1">+AD22*AD31</f>
        <v>8.2157827673350017</v>
      </c>
      <c r="AE30" s="24">
        <f t="shared" ref="AE30:BA30" ca="1" si="32">+AE22*AE31</f>
        <v>8.2979405950083525</v>
      </c>
      <c r="AF30" s="24">
        <f t="shared" ca="1" si="32"/>
        <v>8.3809200009584348</v>
      </c>
      <c r="AG30" s="24">
        <f t="shared" ca="1" si="32"/>
        <v>8.4647292009680211</v>
      </c>
      <c r="AH30" s="24">
        <f t="shared" ca="1" si="32"/>
        <v>16.833071923324336</v>
      </c>
      <c r="AI30" s="24">
        <f t="shared" ca="1" si="32"/>
        <v>16.92319789588122</v>
      </c>
      <c r="AJ30" s="24">
        <f t="shared" ca="1" si="32"/>
        <v>17.01422512816367</v>
      </c>
      <c r="AK30" s="24">
        <f t="shared" ca="1" si="32"/>
        <v>17.106162632768946</v>
      </c>
      <c r="AL30" s="24">
        <f t="shared" ca="1" si="32"/>
        <v>18.048355486324677</v>
      </c>
      <c r="AM30" s="24">
        <f t="shared" ca="1" si="32"/>
        <v>18.147204507863602</v>
      </c>
      <c r="AN30" s="24">
        <f t="shared" ca="1" si="32"/>
        <v>18.247042019617918</v>
      </c>
      <c r="AO30" s="24">
        <f t="shared" ca="1" si="32"/>
        <v>18.347877906489778</v>
      </c>
      <c r="AP30" s="24">
        <f t="shared" ca="1" si="32"/>
        <v>19.359696989574829</v>
      </c>
      <c r="AQ30" s="24">
        <f t="shared" ca="1" si="32"/>
        <v>19.468094236571428</v>
      </c>
      <c r="AR30" s="24">
        <f t="shared" ca="1" si="32"/>
        <v>19.577575456037991</v>
      </c>
      <c r="AS30" s="24">
        <f t="shared" ca="1" si="32"/>
        <v>19.688151487699226</v>
      </c>
      <c r="AT30" s="24">
        <f t="shared" ca="1" si="32"/>
        <v>20.775272655056249</v>
      </c>
      <c r="AU30" s="24">
        <f t="shared" ca="1" si="32"/>
        <v>20.894120028838337</v>
      </c>
      <c r="AV30" s="24">
        <f t="shared" ca="1" si="32"/>
        <v>21.014155876358242</v>
      </c>
      <c r="AW30" s="24">
        <f t="shared" ca="1" si="32"/>
        <v>21.135392082353356</v>
      </c>
      <c r="AX30" s="24">
        <f t="shared" ca="1" si="32"/>
        <v>22.303980590772522</v>
      </c>
      <c r="AY30" s="24">
        <f t="shared" ca="1" si="32"/>
        <v>22.434263756000892</v>
      </c>
      <c r="AZ30" s="24">
        <f t="shared" ca="1" si="32"/>
        <v>22.565849752881554</v>
      </c>
      <c r="BA30" s="24">
        <f t="shared" ca="1" si="32"/>
        <v>22.698751609731016</v>
      </c>
      <c r="BB30" s="8" t="s">
        <v>75</v>
      </c>
    </row>
    <row r="31" spans="1:57" s="25" customFormat="1" x14ac:dyDescent="0.2">
      <c r="B31" s="26" t="s">
        <v>141</v>
      </c>
      <c r="C31" s="45" t="s">
        <v>177</v>
      </c>
      <c r="D31" s="26"/>
      <c r="E31" s="11"/>
      <c r="F31" s="11"/>
      <c r="G31" s="42" t="str">
        <f t="shared" ref="G31:N31" si="33">+IFERROR(G30/G22,"NM")</f>
        <v>NM</v>
      </c>
      <c r="H31" s="42">
        <f t="shared" si="33"/>
        <v>0.20402076788902765</v>
      </c>
      <c r="I31" s="42">
        <f t="shared" ca="1" si="33"/>
        <v>0.55000000000000004</v>
      </c>
      <c r="J31" s="42">
        <f t="shared" ca="1" si="33"/>
        <v>0.55750000000000011</v>
      </c>
      <c r="K31" s="42">
        <f t="shared" ca="1" si="33"/>
        <v>0.56500000000000006</v>
      </c>
      <c r="L31" s="42">
        <f t="shared" ca="1" si="33"/>
        <v>0.5724999999999999</v>
      </c>
      <c r="M31" s="42">
        <f t="shared" ca="1" si="33"/>
        <v>0.57999999999999985</v>
      </c>
      <c r="N31" s="42">
        <f t="shared" ca="1" si="33"/>
        <v>0.58749999999999991</v>
      </c>
      <c r="V31" s="42" t="str">
        <f t="shared" ref="V31:AC31" si="34">+IFERROR(V30/V22,"NM")</f>
        <v>NM</v>
      </c>
      <c r="W31" s="42" t="str">
        <f t="shared" si="34"/>
        <v>NM</v>
      </c>
      <c r="X31" s="42" t="str">
        <f t="shared" si="34"/>
        <v>NM</v>
      </c>
      <c r="Y31" s="42" t="str">
        <f t="shared" si="34"/>
        <v>NM</v>
      </c>
      <c r="Z31" s="42" t="str">
        <f t="shared" si="34"/>
        <v>NM</v>
      </c>
      <c r="AA31" s="42">
        <f t="shared" si="34"/>
        <v>-0.48408112523041597</v>
      </c>
      <c r="AB31" s="42">
        <f t="shared" si="34"/>
        <v>0.22070364108247004</v>
      </c>
      <c r="AC31" s="42">
        <f t="shared" si="34"/>
        <v>0.62151737720309075</v>
      </c>
      <c r="AD31" s="86">
        <f ca="1">+SUMIFS(Drivers!$54:$54,Drivers!$3:$3,Santos!AD$3)</f>
        <v>0.55000000000000004</v>
      </c>
      <c r="AE31" s="86">
        <f ca="1">+SUMIFS(Drivers!$54:$54,Drivers!$3:$3,Santos!AE$3)</f>
        <v>0.55000000000000004</v>
      </c>
      <c r="AF31" s="86">
        <f ca="1">+SUMIFS(Drivers!$54:$54,Drivers!$3:$3,Santos!AF$3)</f>
        <v>0.55000000000000004</v>
      </c>
      <c r="AG31" s="86">
        <f ca="1">+SUMIFS(Drivers!$54:$54,Drivers!$3:$3,Santos!AG$3)</f>
        <v>0.55000000000000004</v>
      </c>
      <c r="AH31" s="86">
        <f ca="1">+SUMIFS(Drivers!$54:$54,Drivers!$3:$3,Santos!AH$3)</f>
        <v>0.5575</v>
      </c>
      <c r="AI31" s="86">
        <f ca="1">+SUMIFS(Drivers!$54:$54,Drivers!$3:$3,Santos!AI$3)</f>
        <v>0.5575</v>
      </c>
      <c r="AJ31" s="86">
        <f ca="1">+SUMIFS(Drivers!$54:$54,Drivers!$3:$3,Santos!AJ$3)</f>
        <v>0.5575</v>
      </c>
      <c r="AK31" s="86">
        <f ca="1">+SUMIFS(Drivers!$54:$54,Drivers!$3:$3,Santos!AK$3)</f>
        <v>0.5575</v>
      </c>
      <c r="AL31" s="86">
        <f ca="1">+SUMIFS(Drivers!$54:$54,Drivers!$3:$3,Santos!AL$3)</f>
        <v>0.56499999999999995</v>
      </c>
      <c r="AM31" s="86">
        <f ca="1">+SUMIFS(Drivers!$54:$54,Drivers!$3:$3,Santos!AM$3)</f>
        <v>0.56499999999999995</v>
      </c>
      <c r="AN31" s="86">
        <f ca="1">+SUMIFS(Drivers!$54:$54,Drivers!$3:$3,Santos!AN$3)</f>
        <v>0.56499999999999995</v>
      </c>
      <c r="AO31" s="86">
        <f ca="1">+SUMIFS(Drivers!$54:$54,Drivers!$3:$3,Santos!AO$3)</f>
        <v>0.56499999999999995</v>
      </c>
      <c r="AP31" s="86">
        <f ca="1">+SUMIFS(Drivers!$54:$54,Drivers!$3:$3,Santos!AP$3)</f>
        <v>0.5724999999999999</v>
      </c>
      <c r="AQ31" s="86">
        <f ca="1">+SUMIFS(Drivers!$54:$54,Drivers!$3:$3,Santos!AQ$3)</f>
        <v>0.5724999999999999</v>
      </c>
      <c r="AR31" s="86">
        <f ca="1">+SUMIFS(Drivers!$54:$54,Drivers!$3:$3,Santos!AR$3)</f>
        <v>0.5724999999999999</v>
      </c>
      <c r="AS31" s="86">
        <f ca="1">+SUMIFS(Drivers!$54:$54,Drivers!$3:$3,Santos!AS$3)</f>
        <v>0.5724999999999999</v>
      </c>
      <c r="AT31" s="86">
        <f ca="1">+SUMIFS(Drivers!$54:$54,Drivers!$3:$3,Santos!AT$3)</f>
        <v>0.57999999999999985</v>
      </c>
      <c r="AU31" s="86">
        <f ca="1">+SUMIFS(Drivers!$54:$54,Drivers!$3:$3,Santos!AU$3)</f>
        <v>0.57999999999999985</v>
      </c>
      <c r="AV31" s="86">
        <f ca="1">+SUMIFS(Drivers!$54:$54,Drivers!$3:$3,Santos!AV$3)</f>
        <v>0.57999999999999985</v>
      </c>
      <c r="AW31" s="86">
        <f ca="1">+SUMIFS(Drivers!$54:$54,Drivers!$3:$3,Santos!AW$3)</f>
        <v>0.57999999999999985</v>
      </c>
      <c r="AX31" s="86">
        <f ca="1">+SUMIFS(Drivers!$54:$54,Drivers!$3:$3,Santos!AX$3)</f>
        <v>0.5874999999999998</v>
      </c>
      <c r="AY31" s="86">
        <f ca="1">+SUMIFS(Drivers!$54:$54,Drivers!$3:$3,Santos!AY$3)</f>
        <v>0.5874999999999998</v>
      </c>
      <c r="AZ31" s="86">
        <f ca="1">+SUMIFS(Drivers!$54:$54,Drivers!$3:$3,Santos!AZ$3)</f>
        <v>0.5874999999999998</v>
      </c>
      <c r="BA31" s="86">
        <f ca="1">+SUMIFS(Drivers!$54:$54,Drivers!$3:$3,Santos!BA$3)</f>
        <v>0.5874999999999998</v>
      </c>
      <c r="BB31" s="8" t="s">
        <v>75</v>
      </c>
    </row>
    <row r="32" spans="1:57" x14ac:dyDescent="0.2">
      <c r="E32" s="11"/>
      <c r="F32" s="11"/>
      <c r="G32" s="11"/>
      <c r="H32" s="11"/>
      <c r="I32" s="11"/>
      <c r="J32" s="11"/>
      <c r="K32" s="11"/>
      <c r="L32" s="11"/>
      <c r="M32" s="11"/>
      <c r="N32" s="11"/>
      <c r="R32" s="25"/>
      <c r="S32" s="25"/>
      <c r="T32" s="25"/>
      <c r="U32" s="25"/>
      <c r="V32" s="12"/>
      <c r="W32" s="12"/>
      <c r="X32" s="12"/>
      <c r="Y32" s="12"/>
      <c r="Z32" s="12"/>
      <c r="AA32" s="12"/>
      <c r="AB32" s="12"/>
      <c r="AC32" s="12"/>
      <c r="BB32" s="8" t="s">
        <v>75</v>
      </c>
    </row>
    <row r="33" spans="1:57" s="35" customFormat="1" x14ac:dyDescent="0.2">
      <c r="A33" s="17" t="s">
        <v>75</v>
      </c>
      <c r="B33" s="36" t="s">
        <v>243</v>
      </c>
      <c r="C33" s="36"/>
      <c r="D33" s="36"/>
      <c r="E33" s="36"/>
      <c r="F33" s="36"/>
      <c r="G33" s="36"/>
      <c r="H33" s="37"/>
      <c r="I33" s="37"/>
      <c r="J33" s="37"/>
      <c r="K33" s="37"/>
      <c r="L33" s="37"/>
      <c r="M33" s="37"/>
      <c r="N33" s="37"/>
      <c r="O33" s="37"/>
      <c r="P33" s="37"/>
      <c r="Q33" s="37"/>
      <c r="U33" s="37"/>
      <c r="V33" s="37"/>
      <c r="W33" s="37"/>
      <c r="X33" s="37"/>
      <c r="Y33" s="44"/>
      <c r="Z33" s="44"/>
      <c r="AA33" s="44"/>
      <c r="AB33" s="44"/>
      <c r="AC33" s="44"/>
      <c r="AD33" s="44"/>
      <c r="AE33" s="44"/>
      <c r="AF33" s="44"/>
      <c r="BB33" s="90" t="s">
        <v>75</v>
      </c>
      <c r="BE33" s="90"/>
    </row>
    <row r="34" spans="1:57" x14ac:dyDescent="0.2">
      <c r="E34" s="11"/>
      <c r="F34" s="11"/>
      <c r="G34" s="11"/>
      <c r="H34" s="11"/>
      <c r="I34" s="11"/>
      <c r="J34" s="11"/>
      <c r="K34" s="11"/>
      <c r="L34" s="11"/>
      <c r="M34" s="11"/>
      <c r="N34" s="11"/>
      <c r="R34" s="25"/>
      <c r="S34" s="25"/>
      <c r="T34" s="25"/>
      <c r="U34" s="25"/>
      <c r="V34" s="12"/>
      <c r="W34" s="12"/>
      <c r="X34" s="12"/>
      <c r="Y34" s="12"/>
      <c r="Z34" s="12"/>
      <c r="AA34" s="12"/>
      <c r="AB34" s="12"/>
      <c r="AC34" s="12"/>
      <c r="BB34" s="8" t="s">
        <v>75</v>
      </c>
    </row>
    <row r="35" spans="1:57" x14ac:dyDescent="0.2">
      <c r="B35" s="1" t="s">
        <v>292</v>
      </c>
      <c r="C35" s="45" t="s">
        <v>187</v>
      </c>
      <c r="E35" s="11"/>
      <c r="F35" s="11"/>
      <c r="G35" s="11">
        <f t="shared" ref="G35:N36" si="35">+SUMIFS(35:35,$6:$6,G$3)</f>
        <v>0</v>
      </c>
      <c r="H35" s="11">
        <f t="shared" si="35"/>
        <v>39.761127330000001</v>
      </c>
      <c r="I35" s="11">
        <f t="shared" ca="1" si="35"/>
        <v>60.653404662308745</v>
      </c>
      <c r="J35" s="11">
        <f t="shared" ca="1" si="35"/>
        <v>65.640823156221245</v>
      </c>
      <c r="K35" s="11">
        <f t="shared" ca="1" si="35"/>
        <v>71.038347947907269</v>
      </c>
      <c r="L35" s="11">
        <f t="shared" ca="1" si="35"/>
        <v>76.87970132790231</v>
      </c>
      <c r="M35" s="11">
        <f t="shared" ca="1" si="35"/>
        <v>83.201378508994168</v>
      </c>
      <c r="N35" s="11">
        <f t="shared" ca="1" si="35"/>
        <v>90.042875638546633</v>
      </c>
      <c r="R35" s="25"/>
      <c r="S35" s="25"/>
      <c r="T35" s="25"/>
      <c r="U35" s="25"/>
      <c r="V35" s="23">
        <f>+V22</f>
        <v>0</v>
      </c>
      <c r="W35" s="23">
        <f t="shared" ref="W35:AC35" si="36">+W22</f>
        <v>0</v>
      </c>
      <c r="X35" s="23">
        <f t="shared" si="36"/>
        <v>0</v>
      </c>
      <c r="Y35" s="23">
        <f t="shared" si="36"/>
        <v>0</v>
      </c>
      <c r="Z35" s="23">
        <f t="shared" si="36"/>
        <v>0</v>
      </c>
      <c r="AA35" s="23">
        <f t="shared" si="36"/>
        <v>7.2582894000000007</v>
      </c>
      <c r="AB35" s="23">
        <f t="shared" si="36"/>
        <v>17.787665489999995</v>
      </c>
      <c r="AC35" s="23">
        <f t="shared" si="36"/>
        <v>14.715172440000003</v>
      </c>
      <c r="AD35" s="106">
        <f ca="1">+AD22-AD36</f>
        <v>14.937786849700002</v>
      </c>
      <c r="AE35" s="23">
        <f t="shared" ref="AE35:BA35" ca="1" si="37">+AE22-AE36</f>
        <v>15.087164718197002</v>
      </c>
      <c r="AF35" s="23">
        <f t="shared" ca="1" si="37"/>
        <v>15.238036365378973</v>
      </c>
      <c r="AG35" s="23">
        <f t="shared" ca="1" si="37"/>
        <v>15.390416729032763</v>
      </c>
      <c r="AH35" s="23">
        <f t="shared" ca="1" si="37"/>
        <v>16.166093732176016</v>
      </c>
      <c r="AI35" s="23">
        <f t="shared" ca="1" si="37"/>
        <v>16.327754669497779</v>
      </c>
      <c r="AJ35" s="23">
        <f t="shared" ca="1" si="37"/>
        <v>16.491032216192757</v>
      </c>
      <c r="AK35" s="23">
        <f t="shared" ca="1" si="37"/>
        <v>16.655942538354687</v>
      </c>
      <c r="AL35" s="23">
        <f t="shared" ca="1" si="37"/>
        <v>17.495402042287761</v>
      </c>
      <c r="AM35" s="23">
        <f t="shared" ca="1" si="37"/>
        <v>17.670356062710642</v>
      </c>
      <c r="AN35" s="23">
        <f t="shared" ca="1" si="37"/>
        <v>17.847059623337746</v>
      </c>
      <c r="AO35" s="23">
        <f t="shared" ca="1" si="37"/>
        <v>18.025530219571127</v>
      </c>
      <c r="AP35" s="23">
        <f t="shared" ca="1" si="37"/>
        <v>18.934016942637513</v>
      </c>
      <c r="AQ35" s="23">
        <f t="shared" ca="1" si="37"/>
        <v>19.123357112063893</v>
      </c>
      <c r="AR35" s="23">
        <f t="shared" ca="1" si="37"/>
        <v>19.314590683184527</v>
      </c>
      <c r="AS35" s="23">
        <f t="shared" ca="1" si="37"/>
        <v>19.507736590016378</v>
      </c>
      <c r="AT35" s="23">
        <f t="shared" ca="1" si="37"/>
        <v>20.490926514153202</v>
      </c>
      <c r="AU35" s="23">
        <f t="shared" ca="1" si="37"/>
        <v>20.695835779294733</v>
      </c>
      <c r="AV35" s="23">
        <f t="shared" ca="1" si="37"/>
        <v>20.902794137087675</v>
      </c>
      <c r="AW35" s="23">
        <f t="shared" ca="1" si="37"/>
        <v>21.111822078458559</v>
      </c>
      <c r="AX35" s="23">
        <f t="shared" ca="1" si="37"/>
        <v>22.175857911212869</v>
      </c>
      <c r="AY35" s="23">
        <f t="shared" ca="1" si="37"/>
        <v>22.397616490324989</v>
      </c>
      <c r="AZ35" s="23">
        <f t="shared" ca="1" si="37"/>
        <v>22.621592655228245</v>
      </c>
      <c r="BA35" s="23">
        <f t="shared" ca="1" si="37"/>
        <v>22.847808581780523</v>
      </c>
      <c r="BB35" s="8" t="s">
        <v>75</v>
      </c>
    </row>
    <row r="36" spans="1:57" x14ac:dyDescent="0.2">
      <c r="B36" s="1" t="s">
        <v>293</v>
      </c>
      <c r="C36" s="45" t="s">
        <v>187</v>
      </c>
      <c r="D36" s="47" t="str">
        <f ca="1">+Ctrl!$G$48</f>
        <v>1Q22</v>
      </c>
      <c r="G36" s="11">
        <f t="shared" si="35"/>
        <v>0</v>
      </c>
      <c r="H36" s="11">
        <f t="shared" si="35"/>
        <v>0</v>
      </c>
      <c r="I36" s="11">
        <f t="shared" si="35"/>
        <v>0</v>
      </c>
      <c r="J36" s="11">
        <f t="shared" si="35"/>
        <v>56.111029005461582</v>
      </c>
      <c r="K36" s="11">
        <f t="shared" si="35"/>
        <v>57.794359875625432</v>
      </c>
      <c r="L36" s="11">
        <f t="shared" si="35"/>
        <v>59.528190671894187</v>
      </c>
      <c r="M36" s="11">
        <f t="shared" si="35"/>
        <v>61.314036392051015</v>
      </c>
      <c r="N36" s="11">
        <f t="shared" si="35"/>
        <v>63.153457483812545</v>
      </c>
      <c r="R36" s="46"/>
      <c r="S36" s="46"/>
      <c r="T36" s="46"/>
      <c r="U36" s="46"/>
      <c r="V36" s="46">
        <f>+SUMIFS('Contract CF'!$56:$56,'Contract CF'!$3:$3,V$6)/4</f>
        <v>0</v>
      </c>
      <c r="W36" s="46">
        <f>+SUMIFS('Contract CF'!$56:$56,'Contract CF'!$3:$3,W$6)/4</f>
        <v>0</v>
      </c>
      <c r="X36" s="46">
        <f>+SUMIFS('Contract CF'!$56:$56,'Contract CF'!$3:$3,X$6)/4</f>
        <v>0</v>
      </c>
      <c r="Y36" s="46">
        <f>+SUMIFS('Contract CF'!$56:$56,'Contract CF'!$3:$3,Y$6)/4</f>
        <v>0</v>
      </c>
      <c r="Z36" s="46">
        <f>+SUMIFS('Contract CF'!$56:$56,'Contract CF'!$3:$3,Z$6)/4</f>
        <v>0</v>
      </c>
      <c r="AA36" s="46">
        <f>+SUMIFS('Contract CF'!$56:$56,'Contract CF'!$3:$3,AA$6)/4</f>
        <v>0</v>
      </c>
      <c r="AB36" s="46">
        <f>+SUMIFS('Contract CF'!$56:$56,'Contract CF'!$3:$3,AB$6)/4</f>
        <v>0</v>
      </c>
      <c r="AC36" s="46">
        <f>+SUMIFS('Contract CF'!$56:$56,'Contract CF'!$3:$3,AC$6)/4</f>
        <v>0</v>
      </c>
      <c r="AD36" s="46">
        <f>+SUMIFS('Contract CF'!$56:$56,'Contract CF'!$3:$3,AD$6)/4</f>
        <v>0</v>
      </c>
      <c r="AE36" s="46">
        <f>+SUMIFS('Contract CF'!$56:$56,'Contract CF'!$3:$3,AE$6)/4</f>
        <v>0</v>
      </c>
      <c r="AF36" s="46">
        <f>+SUMIFS('Contract CF'!$56:$56,'Contract CF'!$3:$3,AF$6)/4</f>
        <v>0</v>
      </c>
      <c r="AG36" s="46">
        <f>+SUMIFS('Contract CF'!$56:$56,'Contract CF'!$3:$3,AG$6)/4</f>
        <v>0</v>
      </c>
      <c r="AH36" s="46">
        <f>+SUMIFS('Contract CF'!$56:$56,'Contract CF'!$3:$3,AH$6)/4</f>
        <v>14.027757251365395</v>
      </c>
      <c r="AI36" s="46">
        <f>+SUMIFS('Contract CF'!$56:$56,'Contract CF'!$3:$3,AI$6)/4</f>
        <v>14.027757251365395</v>
      </c>
      <c r="AJ36" s="46">
        <f>+SUMIFS('Contract CF'!$56:$56,'Contract CF'!$3:$3,AJ$6)/4</f>
        <v>14.027757251365395</v>
      </c>
      <c r="AK36" s="46">
        <f>+SUMIFS('Contract CF'!$56:$56,'Contract CF'!$3:$3,AK$6)/4</f>
        <v>14.027757251365395</v>
      </c>
      <c r="AL36" s="46">
        <f>+SUMIFS('Contract CF'!$56:$56,'Contract CF'!$3:$3,AL$6)/4</f>
        <v>14.448589968906358</v>
      </c>
      <c r="AM36" s="46">
        <f>+SUMIFS('Contract CF'!$56:$56,'Contract CF'!$3:$3,AM$6)/4</f>
        <v>14.448589968906358</v>
      </c>
      <c r="AN36" s="46">
        <f>+SUMIFS('Contract CF'!$56:$56,'Contract CF'!$3:$3,AN$6)/4</f>
        <v>14.448589968906358</v>
      </c>
      <c r="AO36" s="46">
        <f>+SUMIFS('Contract CF'!$56:$56,'Contract CF'!$3:$3,AO$6)/4</f>
        <v>14.448589968906358</v>
      </c>
      <c r="AP36" s="46">
        <f>+SUMIFS('Contract CF'!$56:$56,'Contract CF'!$3:$3,AP$6)/4</f>
        <v>14.882047667973547</v>
      </c>
      <c r="AQ36" s="46">
        <f>+SUMIFS('Contract CF'!$56:$56,'Contract CF'!$3:$3,AQ$6)/4</f>
        <v>14.882047667973547</v>
      </c>
      <c r="AR36" s="46">
        <f>+SUMIFS('Contract CF'!$56:$56,'Contract CF'!$3:$3,AR$6)/4</f>
        <v>14.882047667973547</v>
      </c>
      <c r="AS36" s="46">
        <f>+SUMIFS('Contract CF'!$56:$56,'Contract CF'!$3:$3,AS$6)/4</f>
        <v>14.882047667973547</v>
      </c>
      <c r="AT36" s="46">
        <f>+SUMIFS('Contract CF'!$56:$56,'Contract CF'!$3:$3,AT$6)/4</f>
        <v>15.328509098012754</v>
      </c>
      <c r="AU36" s="46">
        <f>+SUMIFS('Contract CF'!$56:$56,'Contract CF'!$3:$3,AU$6)/4</f>
        <v>15.328509098012754</v>
      </c>
      <c r="AV36" s="46">
        <f>+SUMIFS('Contract CF'!$56:$56,'Contract CF'!$3:$3,AV$6)/4</f>
        <v>15.328509098012754</v>
      </c>
      <c r="AW36" s="46">
        <f>+SUMIFS('Contract CF'!$56:$56,'Contract CF'!$3:$3,AW$6)/4</f>
        <v>15.328509098012754</v>
      </c>
      <c r="AX36" s="46">
        <f>+SUMIFS('Contract CF'!$56:$56,'Contract CF'!$3:$3,AX$6)/4</f>
        <v>15.788364370953136</v>
      </c>
      <c r="AY36" s="46">
        <f>+SUMIFS('Contract CF'!$56:$56,'Contract CF'!$3:$3,AY$6)/4</f>
        <v>15.788364370953136</v>
      </c>
      <c r="AZ36" s="46">
        <f>+SUMIFS('Contract CF'!$56:$56,'Contract CF'!$3:$3,AZ$6)/4</f>
        <v>15.788364370953136</v>
      </c>
      <c r="BA36" s="46">
        <f>+SUMIFS('Contract CF'!$56:$56,'Contract CF'!$3:$3,BA$6)/4</f>
        <v>15.788364370953136</v>
      </c>
      <c r="BB36" s="8" t="s">
        <v>75</v>
      </c>
    </row>
    <row r="37" spans="1:57" x14ac:dyDescent="0.2">
      <c r="BB37" s="8" t="s">
        <v>75</v>
      </c>
    </row>
    <row r="38" spans="1:57" x14ac:dyDescent="0.2">
      <c r="B38" s="1" t="s">
        <v>292</v>
      </c>
      <c r="C38" s="45" t="s">
        <v>235</v>
      </c>
      <c r="V38" s="92" t="str">
        <f>+IFERROR(V35*1000/V10,"NM")</f>
        <v>NM</v>
      </c>
      <c r="W38" s="92" t="str">
        <f t="shared" ref="V38:AK39" si="38">+IFERROR(W35*1000/W10,"NM")</f>
        <v>NM</v>
      </c>
      <c r="X38" s="92" t="str">
        <f t="shared" si="38"/>
        <v>NM</v>
      </c>
      <c r="Y38" s="92" t="str">
        <f t="shared" si="38"/>
        <v>NM</v>
      </c>
      <c r="Z38" s="92" t="str">
        <f t="shared" si="38"/>
        <v>NM</v>
      </c>
      <c r="AA38" s="92">
        <f t="shared" si="38"/>
        <v>47.990890689764854</v>
      </c>
      <c r="AB38" s="92">
        <f t="shared" si="38"/>
        <v>71.370913741741617</v>
      </c>
      <c r="AC38" s="92">
        <f t="shared" si="38"/>
        <v>64.671633114473153</v>
      </c>
      <c r="AD38" s="113">
        <f ca="1">+SUMIFS(Drivers!$51:$51,Drivers!$3:$3,Santos!AD$3)</f>
        <v>65</v>
      </c>
      <c r="AE38" s="113">
        <f ca="1">+SUMIFS(Drivers!$51:$51,Drivers!$3:$3,Santos!AE$3)</f>
        <v>65</v>
      </c>
      <c r="AF38" s="113">
        <f ca="1">+SUMIFS(Drivers!$51:$51,Drivers!$3:$3,Santos!AF$3)</f>
        <v>65</v>
      </c>
      <c r="AG38" s="113">
        <f ca="1">+SUMIFS(Drivers!$51:$51,Drivers!$3:$3,Santos!AG$3)</f>
        <v>65</v>
      </c>
      <c r="AH38" s="113">
        <f ca="1">+SUMIFS(Drivers!$51:$51,Drivers!$3:$3,Santos!AH$3)</f>
        <v>67.600000000000009</v>
      </c>
      <c r="AI38" s="113">
        <f ca="1">+SUMIFS(Drivers!$51:$51,Drivers!$3:$3,Santos!AI$3)</f>
        <v>67.600000000000009</v>
      </c>
      <c r="AJ38" s="113">
        <f ca="1">+SUMIFS(Drivers!$51:$51,Drivers!$3:$3,Santos!AJ$3)</f>
        <v>67.600000000000009</v>
      </c>
      <c r="AK38" s="113">
        <f ca="1">+SUMIFS(Drivers!$51:$51,Drivers!$3:$3,Santos!AK$3)</f>
        <v>67.600000000000009</v>
      </c>
      <c r="AL38" s="113">
        <f ca="1">+SUMIFS(Drivers!$51:$51,Drivers!$3:$3,Santos!AL$3)</f>
        <v>70.304000000000016</v>
      </c>
      <c r="AM38" s="113">
        <f ca="1">+SUMIFS(Drivers!$51:$51,Drivers!$3:$3,Santos!AM$3)</f>
        <v>70.304000000000016</v>
      </c>
      <c r="AN38" s="113">
        <f ca="1">+SUMIFS(Drivers!$51:$51,Drivers!$3:$3,Santos!AN$3)</f>
        <v>70.304000000000016</v>
      </c>
      <c r="AO38" s="113">
        <f ca="1">+SUMIFS(Drivers!$51:$51,Drivers!$3:$3,Santos!AO$3)</f>
        <v>70.304000000000016</v>
      </c>
      <c r="AP38" s="113">
        <f ca="1">+SUMIFS(Drivers!$51:$51,Drivers!$3:$3,Santos!AP$3)</f>
        <v>73.116160000000022</v>
      </c>
      <c r="AQ38" s="113">
        <f ca="1">+SUMIFS(Drivers!$51:$51,Drivers!$3:$3,Santos!AQ$3)</f>
        <v>73.116160000000022</v>
      </c>
      <c r="AR38" s="113">
        <f ca="1">+SUMIFS(Drivers!$51:$51,Drivers!$3:$3,Santos!AR$3)</f>
        <v>73.116160000000022</v>
      </c>
      <c r="AS38" s="113">
        <f ca="1">+SUMIFS(Drivers!$51:$51,Drivers!$3:$3,Santos!AS$3)</f>
        <v>73.116160000000022</v>
      </c>
      <c r="AT38" s="113">
        <f ca="1">+SUMIFS(Drivers!$51:$51,Drivers!$3:$3,Santos!AT$3)</f>
        <v>76.040806400000022</v>
      </c>
      <c r="AU38" s="113">
        <f ca="1">+SUMIFS(Drivers!$51:$51,Drivers!$3:$3,Santos!AU$3)</f>
        <v>76.040806400000022</v>
      </c>
      <c r="AV38" s="113">
        <f ca="1">+SUMIFS(Drivers!$51:$51,Drivers!$3:$3,Santos!AV$3)</f>
        <v>76.040806400000022</v>
      </c>
      <c r="AW38" s="113">
        <f ca="1">+SUMIFS(Drivers!$51:$51,Drivers!$3:$3,Santos!AW$3)</f>
        <v>76.040806400000022</v>
      </c>
      <c r="AX38" s="113">
        <f ca="1">+SUMIFS(Drivers!$51:$51,Drivers!$3:$3,Santos!AX$3)</f>
        <v>79.082438656000022</v>
      </c>
      <c r="AY38" s="113">
        <f ca="1">+SUMIFS(Drivers!$51:$51,Drivers!$3:$3,Santos!AY$3)</f>
        <v>79.082438656000022</v>
      </c>
      <c r="AZ38" s="113">
        <f ca="1">+SUMIFS(Drivers!$51:$51,Drivers!$3:$3,Santos!AZ$3)</f>
        <v>79.082438656000022</v>
      </c>
      <c r="BA38" s="113">
        <f ca="1">+SUMIFS(Drivers!$51:$51,Drivers!$3:$3,Santos!BA$3)</f>
        <v>79.082438656000022</v>
      </c>
      <c r="BB38" s="8" t="s">
        <v>75</v>
      </c>
    </row>
    <row r="39" spans="1:57" x14ac:dyDescent="0.2">
      <c r="B39" s="1" t="s">
        <v>293</v>
      </c>
      <c r="C39" s="45" t="s">
        <v>235</v>
      </c>
      <c r="V39" s="92" t="str">
        <f t="shared" si="38"/>
        <v>NM</v>
      </c>
      <c r="W39" s="92" t="str">
        <f t="shared" si="38"/>
        <v>NM</v>
      </c>
      <c r="X39" s="92" t="str">
        <f t="shared" si="38"/>
        <v>NM</v>
      </c>
      <c r="Y39" s="92" t="str">
        <f t="shared" si="38"/>
        <v>NM</v>
      </c>
      <c r="Z39" s="92" t="str">
        <f t="shared" si="38"/>
        <v>NM</v>
      </c>
      <c r="AA39" s="92" t="str">
        <f t="shared" si="38"/>
        <v>NM</v>
      </c>
      <c r="AB39" s="92" t="str">
        <f t="shared" si="38"/>
        <v>NM</v>
      </c>
      <c r="AC39" s="92" t="str">
        <f t="shared" si="38"/>
        <v>NM</v>
      </c>
      <c r="AD39" s="92" t="str">
        <f t="shared" si="38"/>
        <v>NM</v>
      </c>
      <c r="AE39" s="92" t="str">
        <f t="shared" si="38"/>
        <v>NM</v>
      </c>
      <c r="AF39" s="92" t="str">
        <f t="shared" si="38"/>
        <v>NM</v>
      </c>
      <c r="AG39" s="92" t="str">
        <f t="shared" si="38"/>
        <v>NM</v>
      </c>
      <c r="AH39" s="92">
        <f t="shared" si="38"/>
        <v>37.407352670307723</v>
      </c>
      <c r="AI39" s="92">
        <f t="shared" si="38"/>
        <v>37.407352670307723</v>
      </c>
      <c r="AJ39" s="92">
        <f t="shared" si="38"/>
        <v>37.407352670307723</v>
      </c>
      <c r="AK39" s="92">
        <f t="shared" si="38"/>
        <v>37.407352670307723</v>
      </c>
      <c r="AL39" s="129">
        <f>+AK39</f>
        <v>37.407352670307723</v>
      </c>
      <c r="AM39" s="92">
        <f t="shared" ref="AM39:BA39" si="39">+AL39</f>
        <v>37.407352670307723</v>
      </c>
      <c r="AN39" s="92">
        <f t="shared" si="39"/>
        <v>37.407352670307723</v>
      </c>
      <c r="AO39" s="92">
        <f t="shared" si="39"/>
        <v>37.407352670307723</v>
      </c>
      <c r="AP39" s="92">
        <f t="shared" si="39"/>
        <v>37.407352670307723</v>
      </c>
      <c r="AQ39" s="92">
        <f t="shared" si="39"/>
        <v>37.407352670307723</v>
      </c>
      <c r="AR39" s="92">
        <f t="shared" si="39"/>
        <v>37.407352670307723</v>
      </c>
      <c r="AS39" s="92">
        <f t="shared" si="39"/>
        <v>37.407352670307723</v>
      </c>
      <c r="AT39" s="92">
        <f t="shared" si="39"/>
        <v>37.407352670307723</v>
      </c>
      <c r="AU39" s="92">
        <f t="shared" si="39"/>
        <v>37.407352670307723</v>
      </c>
      <c r="AV39" s="92">
        <f t="shared" si="39"/>
        <v>37.407352670307723</v>
      </c>
      <c r="AW39" s="92">
        <f t="shared" si="39"/>
        <v>37.407352670307723</v>
      </c>
      <c r="AX39" s="92">
        <f t="shared" si="39"/>
        <v>37.407352670307723</v>
      </c>
      <c r="AY39" s="92">
        <f t="shared" si="39"/>
        <v>37.407352670307723</v>
      </c>
      <c r="AZ39" s="92">
        <f t="shared" si="39"/>
        <v>37.407352670307723</v>
      </c>
      <c r="BA39" s="92">
        <f t="shared" si="39"/>
        <v>37.407352670307723</v>
      </c>
      <c r="BB39" s="8" t="s">
        <v>75</v>
      </c>
    </row>
  </sheetData>
  <conditionalFormatting sqref="C1">
    <cfRule type="cellIs" dxfId="15" priority="2" operator="equal">
      <formula>"OK"</formula>
    </cfRule>
  </conditionalFormatting>
  <conditionalFormatting sqref="C1">
    <cfRule type="cellIs" dxfId="14" priority="1" operator="equal">
      <formula>"CHECK"</formula>
    </cfRule>
  </conditionalFormatting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57FE8-AF10-46AE-949D-51448F37079E}">
  <sheetPr>
    <tabColor theme="5" tint="0.79998168889431442"/>
  </sheetPr>
  <dimension ref="A1:BE41"/>
  <sheetViews>
    <sheetView zoomScale="85" zoomScaleNormal="85" workbookViewId="0">
      <pane xSplit="4" ySplit="3" topLeftCell="G4" activePane="bottomRight" state="frozen"/>
      <selection activeCell="E6" sqref="E6"/>
      <selection pane="topRight" activeCell="E6" sqref="E6"/>
      <selection pane="bottomLeft" activeCell="E6" sqref="E6"/>
      <selection pane="bottomRight" activeCell="B8" sqref="B8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hidden="1" customWidth="1" outlineLevel="1"/>
    <col min="7" max="7" width="9.140625" style="1" collapsed="1"/>
    <col min="8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7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7" s="5" customFormat="1" ht="16.5" x14ac:dyDescent="0.3">
      <c r="A2" s="6" t="s">
        <v>614</v>
      </c>
      <c r="D2" s="211">
        <f ca="1">+Ctrl!G10</f>
        <v>0.32102203236261162</v>
      </c>
    </row>
    <row r="3" spans="1:57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BA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si="1"/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si="1"/>
        <v>2Q24</v>
      </c>
      <c r="AR3" s="8" t="str">
        <f t="shared" si="1"/>
        <v>3Q24</v>
      </c>
      <c r="AS3" s="8" t="str">
        <f t="shared" si="1"/>
        <v>4Q24</v>
      </c>
      <c r="AT3" s="8" t="str">
        <f t="shared" si="1"/>
        <v>1Q25</v>
      </c>
      <c r="AU3" s="8" t="str">
        <f t="shared" si="1"/>
        <v>2Q25</v>
      </c>
      <c r="AV3" s="8" t="str">
        <f t="shared" si="1"/>
        <v>3Q25</v>
      </c>
      <c r="AW3" s="8" t="str">
        <f t="shared" si="1"/>
        <v>4Q25</v>
      </c>
      <c r="AX3" s="8" t="str">
        <f t="shared" si="1"/>
        <v>1Q26</v>
      </c>
      <c r="AY3" s="8" t="str">
        <f t="shared" si="1"/>
        <v>2Q26</v>
      </c>
      <c r="AZ3" s="8" t="str">
        <f t="shared" si="1"/>
        <v>3Q26</v>
      </c>
      <c r="BA3" s="8" t="str">
        <f t="shared" si="1"/>
        <v>4Q26</v>
      </c>
      <c r="BB3" s="8" t="s">
        <v>75</v>
      </c>
    </row>
    <row r="4" spans="1:57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2">+H5+1</f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R4" s="10">
        <v>43101</v>
      </c>
      <c r="S4" s="7">
        <f t="shared" ref="S4:BA4" si="3">+R5+1</f>
        <v>43191</v>
      </c>
      <c r="T4" s="7">
        <f t="shared" si="3"/>
        <v>43282</v>
      </c>
      <c r="U4" s="7">
        <f t="shared" si="3"/>
        <v>43374</v>
      </c>
      <c r="V4" s="7">
        <f t="shared" si="3"/>
        <v>43466</v>
      </c>
      <c r="W4" s="7">
        <f t="shared" si="3"/>
        <v>43556</v>
      </c>
      <c r="X4" s="7">
        <f t="shared" si="3"/>
        <v>43647</v>
      </c>
      <c r="Y4" s="7">
        <f t="shared" si="3"/>
        <v>43739</v>
      </c>
      <c r="Z4" s="7">
        <f t="shared" si="3"/>
        <v>43831</v>
      </c>
      <c r="AA4" s="7">
        <f t="shared" si="3"/>
        <v>43922</v>
      </c>
      <c r="AB4" s="7">
        <f t="shared" si="3"/>
        <v>44013</v>
      </c>
      <c r="AC4" s="7">
        <f t="shared" si="3"/>
        <v>44105</v>
      </c>
      <c r="AD4" s="7">
        <f t="shared" si="3"/>
        <v>44197</v>
      </c>
      <c r="AE4" s="7">
        <f t="shared" si="3"/>
        <v>44287</v>
      </c>
      <c r="AF4" s="7">
        <f t="shared" si="3"/>
        <v>44378</v>
      </c>
      <c r="AG4" s="7">
        <f t="shared" si="3"/>
        <v>44470</v>
      </c>
      <c r="AH4" s="7">
        <f t="shared" si="3"/>
        <v>44562</v>
      </c>
      <c r="AI4" s="7">
        <f t="shared" si="3"/>
        <v>44652</v>
      </c>
      <c r="AJ4" s="7">
        <f t="shared" si="3"/>
        <v>44743</v>
      </c>
      <c r="AK4" s="7">
        <f t="shared" si="3"/>
        <v>44835</v>
      </c>
      <c r="AL4" s="7">
        <f t="shared" si="3"/>
        <v>44927</v>
      </c>
      <c r="AM4" s="7">
        <f t="shared" si="3"/>
        <v>45017</v>
      </c>
      <c r="AN4" s="7">
        <f t="shared" si="3"/>
        <v>45108</v>
      </c>
      <c r="AO4" s="7">
        <f t="shared" si="3"/>
        <v>45200</v>
      </c>
      <c r="AP4" s="7">
        <f t="shared" si="3"/>
        <v>45292</v>
      </c>
      <c r="AQ4" s="7">
        <f t="shared" si="3"/>
        <v>45383</v>
      </c>
      <c r="AR4" s="7">
        <f t="shared" si="3"/>
        <v>45474</v>
      </c>
      <c r="AS4" s="7">
        <f t="shared" si="3"/>
        <v>45566</v>
      </c>
      <c r="AT4" s="7">
        <f t="shared" si="3"/>
        <v>45658</v>
      </c>
      <c r="AU4" s="7">
        <f t="shared" si="3"/>
        <v>45748</v>
      </c>
      <c r="AV4" s="7">
        <f t="shared" si="3"/>
        <v>45839</v>
      </c>
      <c r="AW4" s="7">
        <f t="shared" si="3"/>
        <v>45931</v>
      </c>
      <c r="AX4" s="7">
        <f t="shared" si="3"/>
        <v>46023</v>
      </c>
      <c r="AY4" s="7">
        <f t="shared" si="3"/>
        <v>46113</v>
      </c>
      <c r="AZ4" s="7">
        <f t="shared" si="3"/>
        <v>46204</v>
      </c>
      <c r="BA4" s="7">
        <f t="shared" si="3"/>
        <v>46296</v>
      </c>
      <c r="BB4" s="8" t="s">
        <v>75</v>
      </c>
    </row>
    <row r="5" spans="1:57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4">+EOMONTH(I4,11)</f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R5" s="7">
        <f t="shared" ref="R5:BA5" si="5">+EOMONTH(R4,2)</f>
        <v>43190</v>
      </c>
      <c r="S5" s="7">
        <f t="shared" si="5"/>
        <v>43281</v>
      </c>
      <c r="T5" s="7">
        <f t="shared" si="5"/>
        <v>43373</v>
      </c>
      <c r="U5" s="7">
        <f t="shared" si="5"/>
        <v>43465</v>
      </c>
      <c r="V5" s="7">
        <f t="shared" si="5"/>
        <v>43555</v>
      </c>
      <c r="W5" s="7">
        <f t="shared" si="5"/>
        <v>43646</v>
      </c>
      <c r="X5" s="7">
        <f t="shared" si="5"/>
        <v>43738</v>
      </c>
      <c r="Y5" s="7">
        <f t="shared" si="5"/>
        <v>43830</v>
      </c>
      <c r="Z5" s="7">
        <f t="shared" si="5"/>
        <v>43921</v>
      </c>
      <c r="AA5" s="7">
        <f t="shared" si="5"/>
        <v>44012</v>
      </c>
      <c r="AB5" s="7">
        <f t="shared" si="5"/>
        <v>44104</v>
      </c>
      <c r="AC5" s="7">
        <f t="shared" si="5"/>
        <v>44196</v>
      </c>
      <c r="AD5" s="7">
        <f t="shared" si="5"/>
        <v>44286</v>
      </c>
      <c r="AE5" s="7">
        <f t="shared" si="5"/>
        <v>44377</v>
      </c>
      <c r="AF5" s="7">
        <f t="shared" si="5"/>
        <v>44469</v>
      </c>
      <c r="AG5" s="7">
        <f t="shared" si="5"/>
        <v>44561</v>
      </c>
      <c r="AH5" s="7">
        <f t="shared" si="5"/>
        <v>44651</v>
      </c>
      <c r="AI5" s="7">
        <f t="shared" si="5"/>
        <v>44742</v>
      </c>
      <c r="AJ5" s="7">
        <f t="shared" si="5"/>
        <v>44834</v>
      </c>
      <c r="AK5" s="7">
        <f t="shared" si="5"/>
        <v>44926</v>
      </c>
      <c r="AL5" s="7">
        <f t="shared" si="5"/>
        <v>45016</v>
      </c>
      <c r="AM5" s="7">
        <f t="shared" si="5"/>
        <v>45107</v>
      </c>
      <c r="AN5" s="7">
        <f t="shared" si="5"/>
        <v>45199</v>
      </c>
      <c r="AO5" s="7">
        <f t="shared" si="5"/>
        <v>45291</v>
      </c>
      <c r="AP5" s="7">
        <f t="shared" si="5"/>
        <v>45382</v>
      </c>
      <c r="AQ5" s="7">
        <f t="shared" si="5"/>
        <v>45473</v>
      </c>
      <c r="AR5" s="7">
        <f t="shared" si="5"/>
        <v>45565</v>
      </c>
      <c r="AS5" s="7">
        <f t="shared" si="5"/>
        <v>45657</v>
      </c>
      <c r="AT5" s="7">
        <f t="shared" si="5"/>
        <v>45747</v>
      </c>
      <c r="AU5" s="7">
        <f t="shared" si="5"/>
        <v>45838</v>
      </c>
      <c r="AV5" s="7">
        <f t="shared" si="5"/>
        <v>45930</v>
      </c>
      <c r="AW5" s="7">
        <f t="shared" si="5"/>
        <v>46022</v>
      </c>
      <c r="AX5" s="7">
        <f t="shared" si="5"/>
        <v>46112</v>
      </c>
      <c r="AY5" s="7">
        <f t="shared" si="5"/>
        <v>46203</v>
      </c>
      <c r="AZ5" s="7">
        <f t="shared" si="5"/>
        <v>46295</v>
      </c>
      <c r="BA5" s="7">
        <f t="shared" si="5"/>
        <v>46387</v>
      </c>
      <c r="BB5" s="8" t="s">
        <v>75</v>
      </c>
    </row>
    <row r="6" spans="1:57" outlineLevel="1" x14ac:dyDescent="0.2">
      <c r="A6" s="1" t="s">
        <v>0</v>
      </c>
      <c r="R6" s="1">
        <f>+YEAR(R5)</f>
        <v>2018</v>
      </c>
      <c r="S6" s="1">
        <f t="shared" ref="S6:BA6" si="6">+YEAR(S5)</f>
        <v>2018</v>
      </c>
      <c r="T6" s="1">
        <f t="shared" si="6"/>
        <v>2018</v>
      </c>
      <c r="U6" s="1">
        <f t="shared" si="6"/>
        <v>2018</v>
      </c>
      <c r="V6" s="1">
        <f t="shared" si="6"/>
        <v>2019</v>
      </c>
      <c r="W6" s="1">
        <f t="shared" si="6"/>
        <v>2019</v>
      </c>
      <c r="X6" s="1">
        <f t="shared" si="6"/>
        <v>2019</v>
      </c>
      <c r="Y6" s="1">
        <f t="shared" si="6"/>
        <v>2019</v>
      </c>
      <c r="Z6" s="1">
        <f t="shared" si="6"/>
        <v>2020</v>
      </c>
      <c r="AA6" s="1">
        <f t="shared" si="6"/>
        <v>2020</v>
      </c>
      <c r="AB6" s="1">
        <f t="shared" si="6"/>
        <v>2020</v>
      </c>
      <c r="AC6" s="1">
        <f t="shared" si="6"/>
        <v>2020</v>
      </c>
      <c r="AD6" s="1">
        <f t="shared" si="6"/>
        <v>2021</v>
      </c>
      <c r="AE6" s="1">
        <f t="shared" si="6"/>
        <v>2021</v>
      </c>
      <c r="AF6" s="1">
        <f t="shared" si="6"/>
        <v>2021</v>
      </c>
      <c r="AG6" s="1">
        <f t="shared" si="6"/>
        <v>2021</v>
      </c>
      <c r="AH6" s="1">
        <f t="shared" si="6"/>
        <v>2022</v>
      </c>
      <c r="AI6" s="1">
        <f t="shared" si="6"/>
        <v>2022</v>
      </c>
      <c r="AJ6" s="1">
        <f t="shared" si="6"/>
        <v>2022</v>
      </c>
      <c r="AK6" s="1">
        <f t="shared" si="6"/>
        <v>2022</v>
      </c>
      <c r="AL6" s="1">
        <f t="shared" si="6"/>
        <v>2023</v>
      </c>
      <c r="AM6" s="1">
        <f t="shared" si="6"/>
        <v>2023</v>
      </c>
      <c r="AN6" s="1">
        <f t="shared" si="6"/>
        <v>2023</v>
      </c>
      <c r="AO6" s="1">
        <f t="shared" si="6"/>
        <v>2023</v>
      </c>
      <c r="AP6" s="1">
        <f t="shared" si="6"/>
        <v>2024</v>
      </c>
      <c r="AQ6" s="1">
        <f t="shared" si="6"/>
        <v>2024</v>
      </c>
      <c r="AR6" s="1">
        <f t="shared" si="6"/>
        <v>2024</v>
      </c>
      <c r="AS6" s="1">
        <f t="shared" si="6"/>
        <v>2024</v>
      </c>
      <c r="AT6" s="1">
        <f t="shared" si="6"/>
        <v>2025</v>
      </c>
      <c r="AU6" s="1">
        <f t="shared" si="6"/>
        <v>2025</v>
      </c>
      <c r="AV6" s="1">
        <f t="shared" si="6"/>
        <v>2025</v>
      </c>
      <c r="AW6" s="1">
        <f t="shared" si="6"/>
        <v>2025</v>
      </c>
      <c r="AX6" s="1">
        <f t="shared" si="6"/>
        <v>2026</v>
      </c>
      <c r="AY6" s="1">
        <f t="shared" si="6"/>
        <v>2026</v>
      </c>
      <c r="AZ6" s="1">
        <f t="shared" si="6"/>
        <v>2026</v>
      </c>
      <c r="BA6" s="1">
        <f t="shared" si="6"/>
        <v>2026</v>
      </c>
      <c r="BB6" s="8" t="s">
        <v>75</v>
      </c>
    </row>
    <row r="7" spans="1:57" s="3" customFormat="1" x14ac:dyDescent="0.2">
      <c r="A7" s="17" t="s">
        <v>75</v>
      </c>
      <c r="B7" s="3" t="s">
        <v>182</v>
      </c>
      <c r="BB7" s="117" t="s">
        <v>75</v>
      </c>
    </row>
    <row r="8" spans="1:57" x14ac:dyDescent="0.2">
      <c r="B8" s="1" t="s">
        <v>183</v>
      </c>
      <c r="C8" s="45" t="s">
        <v>200</v>
      </c>
      <c r="E8" s="63"/>
      <c r="F8" s="63"/>
      <c r="G8" s="63"/>
      <c r="H8" s="63"/>
      <c r="I8" s="63"/>
      <c r="J8" s="63"/>
      <c r="R8" s="101">
        <f ca="1">+SUMIFS(FX!8:8,FX!$3:$3,R$3)</f>
        <v>3.3062999999999998</v>
      </c>
      <c r="S8" s="101">
        <f ca="1">+SUMIFS(FX!8:8,FX!$3:$3,S$3)</f>
        <v>3.8765000000000001</v>
      </c>
      <c r="T8" s="101">
        <f ca="1">+SUMIFS(FX!8:8,FX!$3:$3,T$3)</f>
        <v>4.0492999999999997</v>
      </c>
      <c r="U8" s="101">
        <f ca="1">+SUMIFS(FX!8:8,FX!$3:$3,U$3)</f>
        <v>3.8744999999999998</v>
      </c>
      <c r="V8" s="101">
        <f ca="1">+SUMIFS(FX!8:8,FX!$3:$3,V$3)</f>
        <v>3.9205000000000001</v>
      </c>
      <c r="W8" s="101">
        <f ca="1">+SUMIFS(FX!8:8,FX!$3:$3,W$3)</f>
        <v>3.8498999999999999</v>
      </c>
      <c r="X8" s="101">
        <f ca="1">+SUMIFS(FX!8:8,FX!$3:$3,X$3)</f>
        <v>4.1562000000000001</v>
      </c>
      <c r="Y8" s="101">
        <f ca="1">+SUMIFS(FX!8:8,FX!$3:$3,Y$3)</f>
        <v>4.0304000000000002</v>
      </c>
      <c r="Z8" s="101">
        <f ca="1">+SUMIFS(FX!8:8,FX!$3:$3,Z$3)</f>
        <v>5.2058999999999997</v>
      </c>
      <c r="AA8" s="101">
        <f ca="1">+SUMIFS(FX!8:8,FX!$3:$3,AA$3)</f>
        <v>5.4676</v>
      </c>
      <c r="AB8" s="101">
        <f ca="1">+SUMIFS(FX!8:8,FX!$3:$3,AB$3)</f>
        <v>5.6094999999999997</v>
      </c>
      <c r="AC8" s="101">
        <f ca="1">+SUMIFS(FX!8:8,FX!$3:$3,AC$3)</f>
        <v>5.1966999999999999</v>
      </c>
      <c r="AD8" s="101">
        <f ca="1">+SUMIFS(FX!8:8,FX!$3:$3,AD$3)</f>
        <v>5.63</v>
      </c>
      <c r="AE8" s="101">
        <f ca="1">+SUMIFS(FX!8:8,FX!$3:$3,AE$3)</f>
        <v>5.6580099502487569</v>
      </c>
      <c r="AF8" s="101">
        <f ca="1">+SUMIFS(FX!8:8,FX!$3:$3,AF$3)</f>
        <v>5.6861592534838259</v>
      </c>
      <c r="AG8" s="101">
        <f ca="1">+SUMIFS(FX!8:8,FX!$3:$3,AG$3)</f>
        <v>5.714448603003647</v>
      </c>
      <c r="AH8" s="101">
        <f ca="1">+SUMIFS(FX!8:8,FX!$3:$3,AH$3)</f>
        <v>5.7428786955559046</v>
      </c>
      <c r="AI8" s="101">
        <f ca="1">+SUMIFS(FX!8:8,FX!$3:$3,AI$3)</f>
        <v>5.7714502313546907</v>
      </c>
      <c r="AJ8" s="101">
        <f ca="1">+SUMIFS(FX!8:8,FX!$3:$3,AJ$3)</f>
        <v>5.8001639140977499</v>
      </c>
      <c r="AK8" s="101">
        <f ca="1">+SUMIFS(FX!8:8,FX!$3:$3,AK$3)</f>
        <v>5.8290204509838093</v>
      </c>
      <c r="AL8" s="101">
        <f ca="1">+SUMIFS(FX!8:8,FX!$3:$3,AL$3)</f>
        <v>5.8580205527299976</v>
      </c>
      <c r="AM8" s="101">
        <f ca="1">+SUMIFS(FX!8:8,FX!$3:$3,AM$3)</f>
        <v>5.8871649335893519</v>
      </c>
      <c r="AN8" s="101">
        <f ca="1">+SUMIFS(FX!8:8,FX!$3:$3,AN$3)</f>
        <v>5.9164543113684038</v>
      </c>
      <c r="AO8" s="101">
        <f ca="1">+SUMIFS(FX!8:8,FX!$3:$3,AO$3)</f>
        <v>5.9458894074448638</v>
      </c>
      <c r="AP8" s="101">
        <f ca="1">+SUMIFS(FX!8:8,FX!$3:$3,AP$3)</f>
        <v>5.9754709467853857</v>
      </c>
      <c r="AQ8" s="101">
        <f ca="1">+SUMIFS(FX!8:8,FX!$3:$3,AQ$3)</f>
        <v>6.0051996579634235</v>
      </c>
      <c r="AR8" s="101">
        <f ca="1">+SUMIFS(FX!8:8,FX!$3:$3,AR$3)</f>
        <v>6.0350762731771725</v>
      </c>
      <c r="AS8" s="101">
        <f ca="1">+SUMIFS(FX!8:8,FX!$3:$3,AS$3)</f>
        <v>6.0651015282676068</v>
      </c>
      <c r="AT8" s="101">
        <f ca="1">+SUMIFS(FX!8:8,FX!$3:$3,AT$3)</f>
        <v>6.0952761627366012</v>
      </c>
      <c r="AU8" s="101">
        <f ca="1">+SUMIFS(FX!8:8,FX!$3:$3,AU$3)</f>
        <v>6.1256009197651418</v>
      </c>
      <c r="AV8" s="101">
        <f ca="1">+SUMIFS(FX!8:8,FX!$3:$3,AV$3)</f>
        <v>6.1560765462316356</v>
      </c>
      <c r="AW8" s="101">
        <f ca="1">+SUMIFS(FX!8:8,FX!$3:$3,AW$3)</f>
        <v>6.1867037927303015</v>
      </c>
      <c r="AX8" s="101">
        <f ca="1">+SUMIFS(FX!8:8,FX!$3:$3,AX$3)</f>
        <v>6.2174834135896573</v>
      </c>
      <c r="AY8" s="101">
        <f ca="1">+SUMIFS(FX!8:8,FX!$3:$3,AY$3)</f>
        <v>6.2484161668910998</v>
      </c>
      <c r="AZ8" s="101">
        <f ca="1">+SUMIFS(FX!8:8,FX!$3:$3,AZ$3)</f>
        <v>6.2795028144875733</v>
      </c>
      <c r="BA8" s="101">
        <f ca="1">+SUMIFS(FX!8:8,FX!$3:$3,BA$3)</f>
        <v>6.3107441220223386</v>
      </c>
      <c r="BB8" s="8" t="s">
        <v>75</v>
      </c>
    </row>
    <row r="9" spans="1:57" x14ac:dyDescent="0.2">
      <c r="B9" s="1" t="s">
        <v>197</v>
      </c>
      <c r="C9" s="45" t="s">
        <v>200</v>
      </c>
      <c r="E9" s="63"/>
      <c r="F9" s="63"/>
      <c r="G9" s="63"/>
      <c r="H9" s="63"/>
      <c r="I9" s="63"/>
      <c r="J9" s="63"/>
      <c r="R9" s="101">
        <f ca="1">+SUMIFS(FX!11:11,FX!$3:$3,R$3)</f>
        <v>3.2670911764705881</v>
      </c>
      <c r="S9" s="101">
        <f ca="1">+SUMIFS(FX!11:11,FX!$3:$3,S$3)</f>
        <v>3.6087936507936504</v>
      </c>
      <c r="T9" s="101">
        <f ca="1">+SUMIFS(FX!11:11,FX!$3:$3,T$3)</f>
        <v>3.9478421874999987</v>
      </c>
      <c r="U9" s="101">
        <f ca="1">+SUMIFS(FX!11:11,FX!$3:$3,U$3)</f>
        <v>3.8125758064516133</v>
      </c>
      <c r="V9" s="101">
        <f ca="1">+SUMIFS(FX!11:11,FX!$3:$3,V$3)</f>
        <v>3.7655786885245899</v>
      </c>
      <c r="W9" s="101">
        <f ca="1">+SUMIFS(FX!11:11,FX!$3:$3,W$3)</f>
        <v>3.9215532258064503</v>
      </c>
      <c r="X9" s="101">
        <f ca="1">+SUMIFS(FX!11:11,FX!$3:$3,X$3)</f>
        <v>3.9722803030303022</v>
      </c>
      <c r="Y9" s="101">
        <f ca="1">+SUMIFS(FX!11:11,FX!$3:$3,Y$3)</f>
        <v>4.1161359375000002</v>
      </c>
      <c r="Z9" s="101">
        <f ca="1">+SUMIFS(FX!11:11,FX!$3:$3,Z$3)</f>
        <v>4.4725483870967748</v>
      </c>
      <c r="AA9" s="101">
        <f ca="1">+SUMIFS(FX!11:11,FX!$3:$3,AA$3)</f>
        <v>5.3856540983606553</v>
      </c>
      <c r="AB9" s="101">
        <f ca="1">+SUMIFS(FX!11:11,FX!$3:$3,AB$3)</f>
        <v>5.380169230769229</v>
      </c>
      <c r="AC9" s="101">
        <f ca="1">+SUMIFS(FX!11:11,FX!$3:$3,AC$3)</f>
        <v>5.3950349206349211</v>
      </c>
      <c r="AD9" s="101">
        <f ca="1">+SUMIFS(FX!11:11,FX!$3:$3,AD$3)</f>
        <v>5.3901184210526321</v>
      </c>
      <c r="AE9" s="101">
        <f ca="1">+SUMIFS(FX!11:11,FX!$3:$3,AE$3)</f>
        <v>5.6440049751243784</v>
      </c>
      <c r="AF9" s="101">
        <f ca="1">+SUMIFS(FX!11:11,FX!$3:$3,AF$3)</f>
        <v>5.6720846018662918</v>
      </c>
      <c r="AG9" s="101">
        <f ca="1">+SUMIFS(FX!11:11,FX!$3:$3,AG$3)</f>
        <v>5.700303928243736</v>
      </c>
      <c r="AH9" s="101">
        <f ca="1">+SUMIFS(FX!11:11,FX!$3:$3,AH$3)</f>
        <v>5.7286636492797758</v>
      </c>
      <c r="AI9" s="101">
        <f ca="1">+SUMIFS(FX!11:11,FX!$3:$3,AI$3)</f>
        <v>5.7571644634552976</v>
      </c>
      <c r="AJ9" s="101">
        <f ca="1">+SUMIFS(FX!11:11,FX!$3:$3,AJ$3)</f>
        <v>5.7858070727262199</v>
      </c>
      <c r="AK9" s="101">
        <f ca="1">+SUMIFS(FX!11:11,FX!$3:$3,AK$3)</f>
        <v>5.81459218254078</v>
      </c>
      <c r="AL9" s="101">
        <f ca="1">+SUMIFS(FX!11:11,FX!$3:$3,AL$3)</f>
        <v>5.8435205018569034</v>
      </c>
      <c r="AM9" s="101">
        <f ca="1">+SUMIFS(FX!11:11,FX!$3:$3,AM$3)</f>
        <v>5.8725927431596752</v>
      </c>
      <c r="AN9" s="101">
        <f ca="1">+SUMIFS(FX!11:11,FX!$3:$3,AN$3)</f>
        <v>5.9018096224788774</v>
      </c>
      <c r="AO9" s="101">
        <f ca="1">+SUMIFS(FX!11:11,FX!$3:$3,AO$3)</f>
        <v>5.9311718594066338</v>
      </c>
      <c r="AP9" s="101">
        <f ca="1">+SUMIFS(FX!11:11,FX!$3:$3,AP$3)</f>
        <v>5.9606801771151243</v>
      </c>
      <c r="AQ9" s="101">
        <f ca="1">+SUMIFS(FX!11:11,FX!$3:$3,AQ$3)</f>
        <v>5.9903353023744046</v>
      </c>
      <c r="AR9" s="101">
        <f ca="1">+SUMIFS(FX!11:11,FX!$3:$3,AR$3)</f>
        <v>6.0201379655702976</v>
      </c>
      <c r="AS9" s="101">
        <f ca="1">+SUMIFS(FX!11:11,FX!$3:$3,AS$3)</f>
        <v>6.0500889007223897</v>
      </c>
      <c r="AT9" s="101">
        <f ca="1">+SUMIFS(FX!11:11,FX!$3:$3,AT$3)</f>
        <v>6.0801888455021036</v>
      </c>
      <c r="AU9" s="101">
        <f ca="1">+SUMIFS(FX!11:11,FX!$3:$3,AU$3)</f>
        <v>6.1104385412508719</v>
      </c>
      <c r="AV9" s="101">
        <f ca="1">+SUMIFS(FX!11:11,FX!$3:$3,AV$3)</f>
        <v>6.1408387329983887</v>
      </c>
      <c r="AW9" s="101">
        <f ca="1">+SUMIFS(FX!11:11,FX!$3:$3,AW$3)</f>
        <v>6.1713901694809685</v>
      </c>
      <c r="AX9" s="101">
        <f ca="1">+SUMIFS(FX!11:11,FX!$3:$3,AX$3)</f>
        <v>6.2020936031599794</v>
      </c>
      <c r="AY9" s="101">
        <f ca="1">+SUMIFS(FX!11:11,FX!$3:$3,AY$3)</f>
        <v>6.2329497902403785</v>
      </c>
      <c r="AZ9" s="101">
        <f ca="1">+SUMIFS(FX!11:11,FX!$3:$3,AZ$3)</f>
        <v>6.2639594906893361</v>
      </c>
      <c r="BA9" s="101">
        <f ca="1">+SUMIFS(FX!11:11,FX!$3:$3,BA$3)</f>
        <v>6.2951234682549559</v>
      </c>
      <c r="BB9" s="8" t="s">
        <v>75</v>
      </c>
    </row>
    <row r="10" spans="1:57" x14ac:dyDescent="0.2">
      <c r="E10" s="67"/>
      <c r="F10" s="67"/>
      <c r="G10" s="67"/>
      <c r="H10" s="67"/>
      <c r="I10" s="67"/>
      <c r="BB10" s="8" t="s">
        <v>75</v>
      </c>
    </row>
    <row r="11" spans="1:57" s="3" customFormat="1" x14ac:dyDescent="0.2">
      <c r="A11" s="17" t="s">
        <v>75</v>
      </c>
      <c r="B11" s="3" t="s">
        <v>615</v>
      </c>
      <c r="BB11" s="117" t="s">
        <v>75</v>
      </c>
    </row>
    <row r="12" spans="1:57" s="35" customFormat="1" x14ac:dyDescent="0.2">
      <c r="A12" s="17" t="s">
        <v>75</v>
      </c>
      <c r="B12" s="36" t="s">
        <v>616</v>
      </c>
      <c r="C12" s="314">
        <f ca="1">+Ctrl!G59</f>
        <v>0</v>
      </c>
      <c r="D12" s="36"/>
      <c r="E12" s="36"/>
      <c r="F12" s="36"/>
      <c r="G12" s="36"/>
      <c r="H12" s="37"/>
      <c r="I12" s="37"/>
      <c r="J12" s="37"/>
      <c r="K12" s="37"/>
      <c r="L12" s="37"/>
      <c r="M12" s="37"/>
      <c r="N12" s="37"/>
      <c r="O12" s="37"/>
      <c r="P12" s="37"/>
      <c r="Q12" s="37"/>
      <c r="U12" s="37"/>
      <c r="V12" s="37"/>
      <c r="W12" s="37"/>
      <c r="X12" s="37"/>
      <c r="Y12" s="44"/>
      <c r="Z12" s="44"/>
      <c r="AA12" s="44"/>
      <c r="AB12" s="44"/>
      <c r="AC12" s="44"/>
      <c r="AD12" s="44"/>
      <c r="AE12" s="44"/>
      <c r="AF12" s="44"/>
      <c r="BB12" s="90" t="s">
        <v>75</v>
      </c>
      <c r="BE12" s="90"/>
    </row>
    <row r="13" spans="1:57" x14ac:dyDescent="0.2">
      <c r="B13" s="22" t="s">
        <v>621</v>
      </c>
      <c r="C13" s="45"/>
      <c r="D13" s="19"/>
      <c r="E13" s="11"/>
      <c r="F13" s="11"/>
      <c r="G13" s="312">
        <f>+SUMIFS(Macro!$49:$49,Macro!$3:$3,G$3)</f>
        <v>0</v>
      </c>
      <c r="H13" s="312">
        <f>+SUMIFS(Macro!$49:$49,Macro!$3:$3,H$3)</f>
        <v>0</v>
      </c>
      <c r="I13" s="312">
        <f ca="1">+SUMIFS(Macro!$49:$49,Macro!$3:$3,I$3)</f>
        <v>110.17262127292992</v>
      </c>
      <c r="J13" s="312">
        <f ca="1">+SUMIFS(Macro!$49:$49,Macro!$3:$3,J$3)</f>
        <v>234.82323538984781</v>
      </c>
      <c r="K13" s="312">
        <f ca="1">+SUMIFS(Macro!$49:$49,Macro!$3:$3,K$3)</f>
        <v>375.37300176200074</v>
      </c>
      <c r="L13" s="312">
        <f ca="1">+SUMIFS(Macro!$49:$49,Macro!$3:$3,L$3)</f>
        <v>533.36668880354853</v>
      </c>
      <c r="M13" s="312">
        <f ca="1">+SUMIFS(Macro!$49:$49,Macro!$3:$3,M$3)</f>
        <v>710.48272817945985</v>
      </c>
      <c r="N13" s="312">
        <f ca="1">+SUMIFS(Macro!$49:$49,Macro!$3:$3,N$3)</f>
        <v>913.25801983591305</v>
      </c>
      <c r="O13" s="11"/>
      <c r="S13" s="31"/>
      <c r="T13" s="31"/>
      <c r="U13" s="31"/>
      <c r="V13" s="23">
        <f ca="1">+(SUMIFS(13:13,3:3,V6)/4)*$C$12</f>
        <v>0</v>
      </c>
      <c r="W13" s="23">
        <f t="shared" ref="W13:BA13" ca="1" si="7">+(SUMIFS(13:13,3:3,W6)/4)*$C$12</f>
        <v>0</v>
      </c>
      <c r="X13" s="23">
        <f t="shared" ca="1" si="7"/>
        <v>0</v>
      </c>
      <c r="Y13" s="23">
        <f t="shared" ca="1" si="7"/>
        <v>0</v>
      </c>
      <c r="Z13" s="23">
        <f t="shared" ca="1" si="7"/>
        <v>0</v>
      </c>
      <c r="AA13" s="23">
        <f t="shared" ca="1" si="7"/>
        <v>0</v>
      </c>
      <c r="AB13" s="23">
        <f t="shared" ca="1" si="7"/>
        <v>0</v>
      </c>
      <c r="AC13" s="23">
        <f t="shared" ca="1" si="7"/>
        <v>0</v>
      </c>
      <c r="AD13" s="23">
        <f t="shared" ca="1" si="7"/>
        <v>0</v>
      </c>
      <c r="AE13" s="23">
        <f t="shared" ca="1" si="7"/>
        <v>0</v>
      </c>
      <c r="AF13" s="23">
        <f t="shared" ca="1" si="7"/>
        <v>0</v>
      </c>
      <c r="AG13" s="23">
        <f t="shared" ca="1" si="7"/>
        <v>0</v>
      </c>
      <c r="AH13" s="23">
        <f t="shared" ca="1" si="7"/>
        <v>0</v>
      </c>
      <c r="AI13" s="23">
        <f t="shared" ca="1" si="7"/>
        <v>0</v>
      </c>
      <c r="AJ13" s="23">
        <f t="shared" ca="1" si="7"/>
        <v>0</v>
      </c>
      <c r="AK13" s="23">
        <f t="shared" ca="1" si="7"/>
        <v>0</v>
      </c>
      <c r="AL13" s="23">
        <f t="shared" ca="1" si="7"/>
        <v>0</v>
      </c>
      <c r="AM13" s="23">
        <f t="shared" ca="1" si="7"/>
        <v>0</v>
      </c>
      <c r="AN13" s="23">
        <f t="shared" ca="1" si="7"/>
        <v>0</v>
      </c>
      <c r="AO13" s="23">
        <f t="shared" ca="1" si="7"/>
        <v>0</v>
      </c>
      <c r="AP13" s="23">
        <f t="shared" ca="1" si="7"/>
        <v>0</v>
      </c>
      <c r="AQ13" s="23">
        <f t="shared" ca="1" si="7"/>
        <v>0</v>
      </c>
      <c r="AR13" s="23">
        <f t="shared" ca="1" si="7"/>
        <v>0</v>
      </c>
      <c r="AS13" s="23">
        <f t="shared" ca="1" si="7"/>
        <v>0</v>
      </c>
      <c r="AT13" s="23">
        <f t="shared" ca="1" si="7"/>
        <v>0</v>
      </c>
      <c r="AU13" s="23">
        <f t="shared" ca="1" si="7"/>
        <v>0</v>
      </c>
      <c r="AV13" s="23">
        <f t="shared" ca="1" si="7"/>
        <v>0</v>
      </c>
      <c r="AW13" s="23">
        <f t="shared" ca="1" si="7"/>
        <v>0</v>
      </c>
      <c r="AX13" s="23">
        <f t="shared" ca="1" si="7"/>
        <v>0</v>
      </c>
      <c r="AY13" s="23">
        <f t="shared" ca="1" si="7"/>
        <v>0</v>
      </c>
      <c r="AZ13" s="23">
        <f t="shared" ca="1" si="7"/>
        <v>0</v>
      </c>
      <c r="BA13" s="23">
        <f t="shared" ca="1" si="7"/>
        <v>0</v>
      </c>
      <c r="BB13" s="8" t="s">
        <v>75</v>
      </c>
    </row>
    <row r="14" spans="1:57" x14ac:dyDescent="0.2">
      <c r="B14" s="22" t="s">
        <v>618</v>
      </c>
      <c r="C14" s="45"/>
      <c r="D14" s="19"/>
      <c r="E14" s="11"/>
      <c r="F14" s="11"/>
      <c r="G14" s="11"/>
      <c r="H14" s="311"/>
      <c r="I14" s="311"/>
      <c r="J14" s="311"/>
      <c r="K14" s="311"/>
      <c r="L14" s="311"/>
      <c r="M14" s="311"/>
      <c r="N14" s="311"/>
      <c r="O14" s="11"/>
      <c r="S14" s="31"/>
      <c r="T14" s="31"/>
      <c r="U14" s="31"/>
      <c r="V14" s="113">
        <f ca="1">+SUMIFS(North!$70:$70,North!$3:$3,Growth!V$3)</f>
        <v>66.927431462556896</v>
      </c>
      <c r="W14" s="113">
        <f ca="1">+SUMIFS(North!$70:$70,North!$3:$3,Growth!W$3)</f>
        <v>83.886595151295822</v>
      </c>
      <c r="X14" s="113">
        <f ca="1">+SUMIFS(North!$70:$70,North!$3:$3,Growth!X$3)</f>
        <v>70.454212266000269</v>
      </c>
      <c r="Y14" s="113">
        <f ca="1">+SUMIFS(North!$70:$70,North!$3:$3,Growth!Y$3)</f>
        <v>85.380111790699701</v>
      </c>
      <c r="Z14" s="113">
        <f ca="1">+SUMIFS(North!$70:$70,North!$3:$3,Growth!Z$3)</f>
        <v>62.008636093010168</v>
      </c>
      <c r="AA14" s="113">
        <f ca="1">+SUMIFS(North!$70:$70,North!$3:$3,Growth!AA$3)</f>
        <v>72.448411208927354</v>
      </c>
      <c r="AB14" s="113">
        <f ca="1">+SUMIFS(North!$70:$70,North!$3:$3,Growth!AB$3)</f>
        <v>69.775822291553808</v>
      </c>
      <c r="AC14" s="113">
        <f ca="1">+SUMIFS(North!$70:$70,North!$3:$3,Growth!AC$3)</f>
        <v>83.23743434608653</v>
      </c>
      <c r="AD14" s="113">
        <f ca="1">+SUMIFS(North!$70:$70,North!$3:$3,Growth!AD$3)</f>
        <v>71.309931506961689</v>
      </c>
      <c r="AE14" s="113">
        <f ca="1">+SUMIFS(North!$70:$70,North!$3:$3,Growth!AE$3)</f>
        <v>83.315672890266455</v>
      </c>
      <c r="AF14" s="113">
        <f ca="1">+SUMIFS(North!$70:$70,North!$3:$3,Growth!AF$3)</f>
        <v>80.242195635286876</v>
      </c>
      <c r="AG14" s="113">
        <f ca="1">+SUMIFS(North!$70:$70,North!$3:$3,Growth!AG$3)</f>
        <v>95.723049497999497</v>
      </c>
      <c r="AH14" s="113">
        <f ca="1">+SUMIFS(North!$70:$70,North!$3:$3,Growth!AH$3)</f>
        <v>74.162328767240155</v>
      </c>
      <c r="AI14" s="113">
        <f ca="1">+SUMIFS(North!$70:$70,North!$3:$3,Growth!AI$3)</f>
        <v>86.648299805877116</v>
      </c>
      <c r="AJ14" s="113">
        <f ca="1">+SUMIFS(North!$70:$70,North!$3:$3,Growth!AJ$3)</f>
        <v>83.451883460698355</v>
      </c>
      <c r="AK14" s="113">
        <f ca="1">+SUMIFS(North!$70:$70,North!$3:$3,Growth!AK$3)</f>
        <v>99.55197147791948</v>
      </c>
      <c r="AL14" s="113">
        <f ca="1">+SUMIFS(North!$70:$70,North!$3:$3,Growth!AL$3)</f>
        <v>77.12882191792977</v>
      </c>
      <c r="AM14" s="113">
        <f ca="1">+SUMIFS(North!$70:$70,North!$3:$3,Growth!AM$3)</f>
        <v>90.114231798112201</v>
      </c>
      <c r="AN14" s="113">
        <f ca="1">+SUMIFS(North!$70:$70,North!$3:$3,Growth!AN$3)</f>
        <v>86.789958799126296</v>
      </c>
      <c r="AO14" s="113">
        <f ca="1">+SUMIFS(North!$70:$70,North!$3:$3,Growth!AO$3)</f>
        <v>103.53405033703626</v>
      </c>
      <c r="AP14" s="113">
        <f ca="1">+SUMIFS(North!$70:$70,North!$3:$3,Growth!AP$3)</f>
        <v>80.213974794646958</v>
      </c>
      <c r="AQ14" s="113">
        <f ca="1">+SUMIFS(North!$70:$70,North!$3:$3,Growth!AQ$3)</f>
        <v>93.71880107003669</v>
      </c>
      <c r="AR14" s="113">
        <f ca="1">+SUMIFS(North!$70:$70,North!$3:$3,Growth!AR$3)</f>
        <v>90.261557151091353</v>
      </c>
      <c r="AS14" s="113">
        <f ca="1">+SUMIFS(North!$70:$70,North!$3:$3,Growth!AS$3)</f>
        <v>107.67541235051772</v>
      </c>
      <c r="AT14" s="113">
        <f ca="1">+SUMIFS(North!$70:$70,North!$3:$3,Growth!AT$3)</f>
        <v>83.422533786432837</v>
      </c>
      <c r="AU14" s="113">
        <f ca="1">+SUMIFS(North!$70:$70,North!$3:$3,Growth!AU$3)</f>
        <v>97.467553112838161</v>
      </c>
      <c r="AV14" s="113">
        <f ca="1">+SUMIFS(North!$70:$70,North!$3:$3,Growth!AV$3)</f>
        <v>93.872019437135009</v>
      </c>
      <c r="AW14" s="113">
        <f ca="1">+SUMIFS(North!$70:$70,North!$3:$3,Growth!AW$3)</f>
        <v>111.98242884453843</v>
      </c>
      <c r="AX14" s="113">
        <f ca="1">+SUMIFS(North!$70:$70,North!$3:$3,Growth!AX$3)</f>
        <v>86.759435137890151</v>
      </c>
      <c r="AY14" s="113">
        <f ca="1">+SUMIFS(North!$70:$70,North!$3:$3,Growth!AY$3)</f>
        <v>101.36625523735169</v>
      </c>
      <c r="AZ14" s="113">
        <f ca="1">+SUMIFS(North!$70:$70,North!$3:$3,Growth!AZ$3)</f>
        <v>97.626900214620406</v>
      </c>
      <c r="BA14" s="113">
        <f ca="1">+SUMIFS(North!$70:$70,North!$3:$3,Growth!BA$3)</f>
        <v>116.46172599831998</v>
      </c>
      <c r="BB14" s="8" t="s">
        <v>75</v>
      </c>
    </row>
    <row r="15" spans="1:57" x14ac:dyDescent="0.2">
      <c r="B15" s="22" t="s">
        <v>132</v>
      </c>
      <c r="C15" s="19"/>
      <c r="D15" s="19"/>
      <c r="E15" s="11"/>
      <c r="F15" s="11"/>
      <c r="G15" s="11"/>
      <c r="H15" s="11"/>
      <c r="I15" s="11"/>
      <c r="J15" s="11"/>
      <c r="K15" s="11"/>
      <c r="L15" s="11"/>
      <c r="M15" s="11"/>
      <c r="N15" s="11"/>
      <c r="R15" s="25"/>
      <c r="S15" s="12"/>
      <c r="T15" s="12"/>
      <c r="U15" s="12"/>
      <c r="V15" s="23">
        <f ca="1">+V13*V14/1000</f>
        <v>0</v>
      </c>
      <c r="W15" s="23">
        <f t="shared" ref="W15:BA15" ca="1" si="8">+W13*W14/1000</f>
        <v>0</v>
      </c>
      <c r="X15" s="23">
        <f t="shared" ca="1" si="8"/>
        <v>0</v>
      </c>
      <c r="Y15" s="23">
        <f t="shared" ca="1" si="8"/>
        <v>0</v>
      </c>
      <c r="Z15" s="23">
        <f t="shared" ca="1" si="8"/>
        <v>0</v>
      </c>
      <c r="AA15" s="23">
        <f t="shared" ca="1" si="8"/>
        <v>0</v>
      </c>
      <c r="AB15" s="23">
        <f t="shared" ca="1" si="8"/>
        <v>0</v>
      </c>
      <c r="AC15" s="23">
        <f t="shared" ca="1" si="8"/>
        <v>0</v>
      </c>
      <c r="AD15" s="23">
        <f t="shared" ca="1" si="8"/>
        <v>0</v>
      </c>
      <c r="AE15" s="23">
        <f t="shared" ca="1" si="8"/>
        <v>0</v>
      </c>
      <c r="AF15" s="23">
        <f t="shared" ca="1" si="8"/>
        <v>0</v>
      </c>
      <c r="AG15" s="23">
        <f t="shared" ca="1" si="8"/>
        <v>0</v>
      </c>
      <c r="AH15" s="23">
        <f t="shared" ca="1" si="8"/>
        <v>0</v>
      </c>
      <c r="AI15" s="23">
        <f t="shared" ca="1" si="8"/>
        <v>0</v>
      </c>
      <c r="AJ15" s="23">
        <f t="shared" ca="1" si="8"/>
        <v>0</v>
      </c>
      <c r="AK15" s="23">
        <f t="shared" ca="1" si="8"/>
        <v>0</v>
      </c>
      <c r="AL15" s="23">
        <f t="shared" ca="1" si="8"/>
        <v>0</v>
      </c>
      <c r="AM15" s="23">
        <f t="shared" ca="1" si="8"/>
        <v>0</v>
      </c>
      <c r="AN15" s="23">
        <f t="shared" ca="1" si="8"/>
        <v>0</v>
      </c>
      <c r="AO15" s="23">
        <f t="shared" ca="1" si="8"/>
        <v>0</v>
      </c>
      <c r="AP15" s="23">
        <f t="shared" ca="1" si="8"/>
        <v>0</v>
      </c>
      <c r="AQ15" s="23">
        <f t="shared" ca="1" si="8"/>
        <v>0</v>
      </c>
      <c r="AR15" s="23">
        <f t="shared" ca="1" si="8"/>
        <v>0</v>
      </c>
      <c r="AS15" s="23">
        <f t="shared" ca="1" si="8"/>
        <v>0</v>
      </c>
      <c r="AT15" s="23">
        <f t="shared" ca="1" si="8"/>
        <v>0</v>
      </c>
      <c r="AU15" s="23">
        <f t="shared" ca="1" si="8"/>
        <v>0</v>
      </c>
      <c r="AV15" s="23">
        <f t="shared" ca="1" si="8"/>
        <v>0</v>
      </c>
      <c r="AW15" s="23">
        <f t="shared" ca="1" si="8"/>
        <v>0</v>
      </c>
      <c r="AX15" s="23">
        <f t="shared" ca="1" si="8"/>
        <v>0</v>
      </c>
      <c r="AY15" s="23">
        <f t="shared" ca="1" si="8"/>
        <v>0</v>
      </c>
      <c r="AZ15" s="23">
        <f t="shared" ca="1" si="8"/>
        <v>0</v>
      </c>
      <c r="BA15" s="23">
        <f t="shared" ca="1" si="8"/>
        <v>0</v>
      </c>
      <c r="BB15" s="8" t="s">
        <v>75</v>
      </c>
    </row>
    <row r="16" spans="1:57" x14ac:dyDescent="0.2">
      <c r="B16" s="22" t="s">
        <v>136</v>
      </c>
      <c r="C16" s="19"/>
      <c r="D16" s="19"/>
      <c r="E16" s="11"/>
      <c r="F16" s="11"/>
      <c r="G16" s="11"/>
      <c r="H16" s="11"/>
      <c r="I16" s="11"/>
      <c r="J16" s="11"/>
      <c r="K16" s="11"/>
      <c r="L16" s="11"/>
      <c r="M16" s="11"/>
      <c r="N16" s="11"/>
      <c r="R16" s="25"/>
      <c r="S16" s="12"/>
      <c r="T16" s="12"/>
      <c r="U16" s="12"/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8" t="s">
        <v>75</v>
      </c>
    </row>
    <row r="17" spans="1:57" s="2" customFormat="1" x14ac:dyDescent="0.2">
      <c r="B17" s="34" t="s">
        <v>140</v>
      </c>
      <c r="C17" s="18"/>
      <c r="D17" s="18"/>
      <c r="E17" s="13"/>
      <c r="F17" s="13"/>
      <c r="G17" s="13"/>
      <c r="H17" s="13"/>
      <c r="I17" s="13"/>
      <c r="J17" s="13"/>
      <c r="K17" s="13"/>
      <c r="L17" s="13"/>
      <c r="M17" s="13"/>
      <c r="N17" s="13"/>
      <c r="R17" s="32"/>
      <c r="S17" s="16"/>
      <c r="T17" s="16"/>
      <c r="U17" s="16"/>
      <c r="V17" s="24">
        <f ca="1">+V15+V16</f>
        <v>0</v>
      </c>
      <c r="W17" s="24">
        <f t="shared" ref="W17:BA17" ca="1" si="9">+W15+W16</f>
        <v>0</v>
      </c>
      <c r="X17" s="24">
        <f t="shared" ca="1" si="9"/>
        <v>0</v>
      </c>
      <c r="Y17" s="24">
        <f t="shared" ca="1" si="9"/>
        <v>0</v>
      </c>
      <c r="Z17" s="24">
        <f t="shared" ca="1" si="9"/>
        <v>0</v>
      </c>
      <c r="AA17" s="24">
        <f t="shared" ca="1" si="9"/>
        <v>0</v>
      </c>
      <c r="AB17" s="24">
        <f t="shared" ca="1" si="9"/>
        <v>0</v>
      </c>
      <c r="AC17" s="24">
        <f t="shared" ca="1" si="9"/>
        <v>0</v>
      </c>
      <c r="AD17" s="24">
        <f t="shared" ca="1" si="9"/>
        <v>0</v>
      </c>
      <c r="AE17" s="24">
        <f t="shared" ca="1" si="9"/>
        <v>0</v>
      </c>
      <c r="AF17" s="24">
        <f t="shared" ca="1" si="9"/>
        <v>0</v>
      </c>
      <c r="AG17" s="24">
        <f t="shared" ca="1" si="9"/>
        <v>0</v>
      </c>
      <c r="AH17" s="24">
        <f t="shared" ca="1" si="9"/>
        <v>0</v>
      </c>
      <c r="AI17" s="24">
        <f t="shared" ca="1" si="9"/>
        <v>0</v>
      </c>
      <c r="AJ17" s="24">
        <f t="shared" ca="1" si="9"/>
        <v>0</v>
      </c>
      <c r="AK17" s="24">
        <f t="shared" ca="1" si="9"/>
        <v>0</v>
      </c>
      <c r="AL17" s="24">
        <f t="shared" ca="1" si="9"/>
        <v>0</v>
      </c>
      <c r="AM17" s="24">
        <f t="shared" ca="1" si="9"/>
        <v>0</v>
      </c>
      <c r="AN17" s="24">
        <f t="shared" ca="1" si="9"/>
        <v>0</v>
      </c>
      <c r="AO17" s="24">
        <f t="shared" ca="1" si="9"/>
        <v>0</v>
      </c>
      <c r="AP17" s="24">
        <f t="shared" ca="1" si="9"/>
        <v>0</v>
      </c>
      <c r="AQ17" s="24">
        <f t="shared" ca="1" si="9"/>
        <v>0</v>
      </c>
      <c r="AR17" s="24">
        <f t="shared" ca="1" si="9"/>
        <v>0</v>
      </c>
      <c r="AS17" s="24">
        <f t="shared" ca="1" si="9"/>
        <v>0</v>
      </c>
      <c r="AT17" s="24">
        <f t="shared" ca="1" si="9"/>
        <v>0</v>
      </c>
      <c r="AU17" s="24">
        <f t="shared" ca="1" si="9"/>
        <v>0</v>
      </c>
      <c r="AV17" s="24">
        <f t="shared" ca="1" si="9"/>
        <v>0</v>
      </c>
      <c r="AW17" s="24">
        <f t="shared" ca="1" si="9"/>
        <v>0</v>
      </c>
      <c r="AX17" s="24">
        <f t="shared" ca="1" si="9"/>
        <v>0</v>
      </c>
      <c r="AY17" s="24">
        <f t="shared" ca="1" si="9"/>
        <v>0</v>
      </c>
      <c r="AZ17" s="24">
        <f t="shared" ca="1" si="9"/>
        <v>0</v>
      </c>
      <c r="BA17" s="24">
        <f t="shared" ca="1" si="9"/>
        <v>0</v>
      </c>
      <c r="BB17" s="83" t="s">
        <v>75</v>
      </c>
    </row>
    <row r="18" spans="1:57" x14ac:dyDescent="0.2">
      <c r="B18" s="19"/>
      <c r="C18" s="19"/>
      <c r="D18" s="19"/>
      <c r="E18" s="11"/>
      <c r="F18" s="11"/>
      <c r="G18" s="11"/>
      <c r="H18" s="11"/>
      <c r="I18" s="11"/>
      <c r="J18" s="11"/>
      <c r="K18" s="11"/>
      <c r="L18" s="11"/>
      <c r="M18" s="11"/>
      <c r="N18" s="11"/>
      <c r="R18" s="25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BB18" s="8" t="s">
        <v>75</v>
      </c>
    </row>
    <row r="19" spans="1:57" s="35" customFormat="1" x14ac:dyDescent="0.2">
      <c r="A19" s="17" t="s">
        <v>75</v>
      </c>
      <c r="B19" s="36" t="s">
        <v>617</v>
      </c>
      <c r="C19" s="314">
        <f ca="1">+Ctrl!G60</f>
        <v>0</v>
      </c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37"/>
      <c r="P19" s="37"/>
      <c r="Q19" s="37"/>
      <c r="U19" s="37"/>
      <c r="V19" s="37"/>
      <c r="W19" s="37"/>
      <c r="X19" s="37"/>
      <c r="Y19" s="44"/>
      <c r="Z19" s="44"/>
      <c r="AA19" s="44"/>
      <c r="AB19" s="44"/>
      <c r="AC19" s="44"/>
      <c r="AD19" s="44"/>
      <c r="AE19" s="44"/>
      <c r="AF19" s="44"/>
      <c r="BB19" s="90" t="s">
        <v>75</v>
      </c>
      <c r="BE19" s="90"/>
    </row>
    <row r="20" spans="1:57" x14ac:dyDescent="0.2">
      <c r="B20" s="22" t="s">
        <v>620</v>
      </c>
      <c r="C20" s="164">
        <v>135</v>
      </c>
      <c r="D20" s="164" t="s">
        <v>610</v>
      </c>
      <c r="E20" s="11"/>
      <c r="F20" s="11"/>
      <c r="G20" s="312"/>
      <c r="H20" s="312"/>
      <c r="I20" s="312"/>
      <c r="J20" s="312"/>
      <c r="K20" s="312"/>
      <c r="L20" s="312"/>
      <c r="M20" s="312"/>
      <c r="N20" s="312"/>
      <c r="O20" s="11"/>
      <c r="S20" s="31"/>
      <c r="T20" s="31"/>
      <c r="U20" s="31"/>
      <c r="V20" s="23">
        <f ca="1">+(IF(V$3=$D20,$C20/4,0)+U20)*$C$19</f>
        <v>0</v>
      </c>
      <c r="W20" s="23">
        <f t="shared" ref="W20:BA20" ca="1" si="10">+(IF(W$3=$D20,$C20/4,0)+V20)*$C$19</f>
        <v>0</v>
      </c>
      <c r="X20" s="23">
        <f t="shared" ca="1" si="10"/>
        <v>0</v>
      </c>
      <c r="Y20" s="23">
        <f t="shared" ca="1" si="10"/>
        <v>0</v>
      </c>
      <c r="Z20" s="23">
        <f t="shared" ca="1" si="10"/>
        <v>0</v>
      </c>
      <c r="AA20" s="23">
        <f t="shared" ca="1" si="10"/>
        <v>0</v>
      </c>
      <c r="AB20" s="23">
        <f t="shared" ca="1" si="10"/>
        <v>0</v>
      </c>
      <c r="AC20" s="23">
        <f t="shared" ca="1" si="10"/>
        <v>0</v>
      </c>
      <c r="AD20" s="23">
        <f t="shared" ca="1" si="10"/>
        <v>0</v>
      </c>
      <c r="AE20" s="23">
        <f t="shared" ca="1" si="10"/>
        <v>0</v>
      </c>
      <c r="AF20" s="23">
        <f t="shared" ca="1" si="10"/>
        <v>0</v>
      </c>
      <c r="AG20" s="23">
        <f t="shared" ca="1" si="10"/>
        <v>0</v>
      </c>
      <c r="AH20" s="23">
        <f t="shared" ca="1" si="10"/>
        <v>0</v>
      </c>
      <c r="AI20" s="23">
        <f t="shared" ca="1" si="10"/>
        <v>0</v>
      </c>
      <c r="AJ20" s="23">
        <f t="shared" ca="1" si="10"/>
        <v>0</v>
      </c>
      <c r="AK20" s="23">
        <f t="shared" ca="1" si="10"/>
        <v>0</v>
      </c>
      <c r="AL20" s="23">
        <f t="shared" ca="1" si="10"/>
        <v>0</v>
      </c>
      <c r="AM20" s="23">
        <f t="shared" ca="1" si="10"/>
        <v>0</v>
      </c>
      <c r="AN20" s="23">
        <f t="shared" ca="1" si="10"/>
        <v>0</v>
      </c>
      <c r="AO20" s="23">
        <f t="shared" ca="1" si="10"/>
        <v>0</v>
      </c>
      <c r="AP20" s="23">
        <f t="shared" ca="1" si="10"/>
        <v>0</v>
      </c>
      <c r="AQ20" s="23">
        <f t="shared" ca="1" si="10"/>
        <v>0</v>
      </c>
      <c r="AR20" s="23">
        <f t="shared" ca="1" si="10"/>
        <v>0</v>
      </c>
      <c r="AS20" s="23">
        <f t="shared" ca="1" si="10"/>
        <v>0</v>
      </c>
      <c r="AT20" s="23">
        <f t="shared" ca="1" si="10"/>
        <v>0</v>
      </c>
      <c r="AU20" s="23">
        <f t="shared" ca="1" si="10"/>
        <v>0</v>
      </c>
      <c r="AV20" s="23">
        <f t="shared" ca="1" si="10"/>
        <v>0</v>
      </c>
      <c r="AW20" s="23">
        <f t="shared" ca="1" si="10"/>
        <v>0</v>
      </c>
      <c r="AX20" s="23">
        <f t="shared" ca="1" si="10"/>
        <v>0</v>
      </c>
      <c r="AY20" s="23">
        <f t="shared" ca="1" si="10"/>
        <v>0</v>
      </c>
      <c r="AZ20" s="23">
        <f t="shared" ca="1" si="10"/>
        <v>0</v>
      </c>
      <c r="BA20" s="23">
        <f t="shared" ca="1" si="10"/>
        <v>0</v>
      </c>
      <c r="BB20" s="8" t="s">
        <v>75</v>
      </c>
    </row>
    <row r="21" spans="1:57" x14ac:dyDescent="0.2">
      <c r="B21" s="22" t="s">
        <v>622</v>
      </c>
      <c r="C21" s="164">
        <v>750</v>
      </c>
      <c r="D21" s="164" t="s">
        <v>610</v>
      </c>
      <c r="E21" s="11"/>
      <c r="F21" s="11"/>
      <c r="G21" s="312"/>
      <c r="H21" s="312"/>
      <c r="I21" s="312"/>
      <c r="J21" s="312"/>
      <c r="K21" s="312"/>
      <c r="L21" s="312"/>
      <c r="M21" s="312"/>
      <c r="N21" s="312"/>
      <c r="O21" s="11"/>
      <c r="S21" s="31"/>
      <c r="T21" s="31"/>
      <c r="U21" s="31"/>
      <c r="V21" s="23">
        <f t="shared" ref="V21:BA21" ca="1" si="11">+(IF(V$3=$D21,$C21/4,0)+U21)*$C$19</f>
        <v>0</v>
      </c>
      <c r="W21" s="23">
        <f t="shared" ca="1" si="11"/>
        <v>0</v>
      </c>
      <c r="X21" s="23">
        <f t="shared" ca="1" si="11"/>
        <v>0</v>
      </c>
      <c r="Y21" s="23">
        <f t="shared" ca="1" si="11"/>
        <v>0</v>
      </c>
      <c r="Z21" s="23">
        <f t="shared" ca="1" si="11"/>
        <v>0</v>
      </c>
      <c r="AA21" s="23">
        <f t="shared" ca="1" si="11"/>
        <v>0</v>
      </c>
      <c r="AB21" s="23">
        <f t="shared" ca="1" si="11"/>
        <v>0</v>
      </c>
      <c r="AC21" s="23">
        <f t="shared" ca="1" si="11"/>
        <v>0</v>
      </c>
      <c r="AD21" s="23">
        <f t="shared" ca="1" si="11"/>
        <v>0</v>
      </c>
      <c r="AE21" s="23">
        <f t="shared" ca="1" si="11"/>
        <v>0</v>
      </c>
      <c r="AF21" s="23">
        <f t="shared" ca="1" si="11"/>
        <v>0</v>
      </c>
      <c r="AG21" s="23">
        <f t="shared" ca="1" si="11"/>
        <v>0</v>
      </c>
      <c r="AH21" s="23">
        <f t="shared" ca="1" si="11"/>
        <v>0</v>
      </c>
      <c r="AI21" s="23">
        <f t="shared" ca="1" si="11"/>
        <v>0</v>
      </c>
      <c r="AJ21" s="23">
        <f t="shared" ca="1" si="11"/>
        <v>0</v>
      </c>
      <c r="AK21" s="23">
        <f t="shared" ca="1" si="11"/>
        <v>0</v>
      </c>
      <c r="AL21" s="23">
        <f t="shared" ca="1" si="11"/>
        <v>0</v>
      </c>
      <c r="AM21" s="23">
        <f t="shared" ca="1" si="11"/>
        <v>0</v>
      </c>
      <c r="AN21" s="23">
        <f t="shared" ca="1" si="11"/>
        <v>0</v>
      </c>
      <c r="AO21" s="23">
        <f t="shared" ca="1" si="11"/>
        <v>0</v>
      </c>
      <c r="AP21" s="23">
        <f t="shared" ca="1" si="11"/>
        <v>0</v>
      </c>
      <c r="AQ21" s="23">
        <f t="shared" ca="1" si="11"/>
        <v>0</v>
      </c>
      <c r="AR21" s="23">
        <f t="shared" ca="1" si="11"/>
        <v>0</v>
      </c>
      <c r="AS21" s="23">
        <f t="shared" ca="1" si="11"/>
        <v>0</v>
      </c>
      <c r="AT21" s="23">
        <f t="shared" ca="1" si="11"/>
        <v>0</v>
      </c>
      <c r="AU21" s="23">
        <f t="shared" ca="1" si="11"/>
        <v>0</v>
      </c>
      <c r="AV21" s="23">
        <f t="shared" ca="1" si="11"/>
        <v>0</v>
      </c>
      <c r="AW21" s="23">
        <f t="shared" ca="1" si="11"/>
        <v>0</v>
      </c>
      <c r="AX21" s="23">
        <f t="shared" ca="1" si="11"/>
        <v>0</v>
      </c>
      <c r="AY21" s="23">
        <f t="shared" ca="1" si="11"/>
        <v>0</v>
      </c>
      <c r="AZ21" s="23">
        <f t="shared" ca="1" si="11"/>
        <v>0</v>
      </c>
      <c r="BA21" s="23">
        <f t="shared" ca="1" si="11"/>
        <v>0</v>
      </c>
      <c r="BB21" s="8" t="s">
        <v>75</v>
      </c>
    </row>
    <row r="22" spans="1:57" x14ac:dyDescent="0.2">
      <c r="B22" s="22" t="s">
        <v>623</v>
      </c>
      <c r="C22" s="45"/>
      <c r="D22" s="19"/>
      <c r="E22" s="11"/>
      <c r="F22" s="11"/>
      <c r="G22" s="11"/>
      <c r="H22" s="311"/>
      <c r="I22" s="311"/>
      <c r="J22" s="311"/>
      <c r="K22" s="311"/>
      <c r="L22" s="311"/>
      <c r="M22" s="311"/>
      <c r="N22" s="311"/>
      <c r="O22" s="11"/>
      <c r="S22" s="31"/>
      <c r="T22" s="31"/>
      <c r="U22" s="31"/>
      <c r="V22" s="167">
        <v>90</v>
      </c>
      <c r="W22" s="167">
        <v>90</v>
      </c>
      <c r="X22" s="167">
        <v>90</v>
      </c>
      <c r="Y22" s="167">
        <v>90</v>
      </c>
      <c r="Z22" s="113">
        <f t="shared" ref="Z22:AI23" ca="1" si="12">+V22*(1+inflation)</f>
        <v>93.600000000000009</v>
      </c>
      <c r="AA22" s="113">
        <f t="shared" ca="1" si="12"/>
        <v>93.600000000000009</v>
      </c>
      <c r="AB22" s="113">
        <f t="shared" ca="1" si="12"/>
        <v>93.600000000000009</v>
      </c>
      <c r="AC22" s="113">
        <f t="shared" ca="1" si="12"/>
        <v>93.600000000000009</v>
      </c>
      <c r="AD22" s="113">
        <f t="shared" ca="1" si="12"/>
        <v>97.344000000000008</v>
      </c>
      <c r="AE22" s="113">
        <f t="shared" ca="1" si="12"/>
        <v>97.344000000000008</v>
      </c>
      <c r="AF22" s="113">
        <f t="shared" ca="1" si="12"/>
        <v>97.344000000000008</v>
      </c>
      <c r="AG22" s="113">
        <f t="shared" ca="1" si="12"/>
        <v>97.344000000000008</v>
      </c>
      <c r="AH22" s="113">
        <f t="shared" ca="1" si="12"/>
        <v>101.23776000000001</v>
      </c>
      <c r="AI22" s="113">
        <f t="shared" ca="1" si="12"/>
        <v>101.23776000000001</v>
      </c>
      <c r="AJ22" s="113">
        <f t="shared" ref="AJ22:AS23" ca="1" si="13">+AF22*(1+inflation)</f>
        <v>101.23776000000001</v>
      </c>
      <c r="AK22" s="113">
        <f t="shared" ca="1" si="13"/>
        <v>101.23776000000001</v>
      </c>
      <c r="AL22" s="113">
        <f t="shared" ca="1" si="13"/>
        <v>105.28727040000001</v>
      </c>
      <c r="AM22" s="113">
        <f t="shared" ca="1" si="13"/>
        <v>105.28727040000001</v>
      </c>
      <c r="AN22" s="113">
        <f t="shared" ca="1" si="13"/>
        <v>105.28727040000001</v>
      </c>
      <c r="AO22" s="113">
        <f t="shared" ca="1" si="13"/>
        <v>105.28727040000001</v>
      </c>
      <c r="AP22" s="113">
        <f t="shared" ca="1" si="13"/>
        <v>109.49876121600002</v>
      </c>
      <c r="AQ22" s="113">
        <f t="shared" ca="1" si="13"/>
        <v>109.49876121600002</v>
      </c>
      <c r="AR22" s="113">
        <f t="shared" ca="1" si="13"/>
        <v>109.49876121600002</v>
      </c>
      <c r="AS22" s="113">
        <f t="shared" ca="1" si="13"/>
        <v>109.49876121600002</v>
      </c>
      <c r="AT22" s="113">
        <f t="shared" ref="AT22:BA23" ca="1" si="14">+AP22*(1+inflation)</f>
        <v>113.87871166464002</v>
      </c>
      <c r="AU22" s="113">
        <f t="shared" ca="1" si="14"/>
        <v>113.87871166464002</v>
      </c>
      <c r="AV22" s="113">
        <f t="shared" ca="1" si="14"/>
        <v>113.87871166464002</v>
      </c>
      <c r="AW22" s="113">
        <f t="shared" ca="1" si="14"/>
        <v>113.87871166464002</v>
      </c>
      <c r="AX22" s="113">
        <f t="shared" ca="1" si="14"/>
        <v>118.43386013122563</v>
      </c>
      <c r="AY22" s="113">
        <f t="shared" ca="1" si="14"/>
        <v>118.43386013122563</v>
      </c>
      <c r="AZ22" s="113">
        <f t="shared" ca="1" si="14"/>
        <v>118.43386013122563</v>
      </c>
      <c r="BA22" s="113">
        <f t="shared" ca="1" si="14"/>
        <v>118.43386013122563</v>
      </c>
      <c r="BB22" s="8" t="s">
        <v>75</v>
      </c>
    </row>
    <row r="23" spans="1:57" x14ac:dyDescent="0.2">
      <c r="B23" s="22" t="s">
        <v>624</v>
      </c>
      <c r="C23" s="45"/>
      <c r="D23" s="19"/>
      <c r="E23" s="11"/>
      <c r="F23" s="11"/>
      <c r="G23" s="11"/>
      <c r="H23" s="311"/>
      <c r="I23" s="311"/>
      <c r="J23" s="311"/>
      <c r="K23" s="311"/>
      <c r="L23" s="311"/>
      <c r="M23" s="311"/>
      <c r="N23" s="311"/>
      <c r="O23" s="11"/>
      <c r="S23" s="31"/>
      <c r="T23" s="31"/>
      <c r="U23" s="31"/>
      <c r="V23" s="167">
        <v>13</v>
      </c>
      <c r="W23" s="167">
        <v>13</v>
      </c>
      <c r="X23" s="167">
        <v>13</v>
      </c>
      <c r="Y23" s="167">
        <v>13</v>
      </c>
      <c r="Z23" s="113">
        <f t="shared" ca="1" si="12"/>
        <v>13.52</v>
      </c>
      <c r="AA23" s="113">
        <f t="shared" ca="1" si="12"/>
        <v>13.52</v>
      </c>
      <c r="AB23" s="113">
        <f t="shared" ca="1" si="12"/>
        <v>13.52</v>
      </c>
      <c r="AC23" s="113">
        <f t="shared" ca="1" si="12"/>
        <v>13.52</v>
      </c>
      <c r="AD23" s="113">
        <f t="shared" ca="1" si="12"/>
        <v>14.0608</v>
      </c>
      <c r="AE23" s="113">
        <f t="shared" ca="1" si="12"/>
        <v>14.0608</v>
      </c>
      <c r="AF23" s="113">
        <f t="shared" ca="1" si="12"/>
        <v>14.0608</v>
      </c>
      <c r="AG23" s="113">
        <f t="shared" ca="1" si="12"/>
        <v>14.0608</v>
      </c>
      <c r="AH23" s="113">
        <f t="shared" ca="1" si="12"/>
        <v>14.623232000000002</v>
      </c>
      <c r="AI23" s="113">
        <f t="shared" ca="1" si="12"/>
        <v>14.623232000000002</v>
      </c>
      <c r="AJ23" s="113">
        <f t="shared" ca="1" si="13"/>
        <v>14.623232000000002</v>
      </c>
      <c r="AK23" s="113">
        <f t="shared" ca="1" si="13"/>
        <v>14.623232000000002</v>
      </c>
      <c r="AL23" s="113">
        <f t="shared" ca="1" si="13"/>
        <v>15.208161280000002</v>
      </c>
      <c r="AM23" s="113">
        <f t="shared" ca="1" si="13"/>
        <v>15.208161280000002</v>
      </c>
      <c r="AN23" s="113">
        <f t="shared" ca="1" si="13"/>
        <v>15.208161280000002</v>
      </c>
      <c r="AO23" s="113">
        <f t="shared" ca="1" si="13"/>
        <v>15.208161280000002</v>
      </c>
      <c r="AP23" s="113">
        <f t="shared" ca="1" si="13"/>
        <v>15.816487731200002</v>
      </c>
      <c r="AQ23" s="113">
        <f t="shared" ca="1" si="13"/>
        <v>15.816487731200002</v>
      </c>
      <c r="AR23" s="113">
        <f t="shared" ca="1" si="13"/>
        <v>15.816487731200002</v>
      </c>
      <c r="AS23" s="113">
        <f t="shared" ca="1" si="13"/>
        <v>15.816487731200002</v>
      </c>
      <c r="AT23" s="113">
        <f t="shared" ca="1" si="14"/>
        <v>16.449147240448003</v>
      </c>
      <c r="AU23" s="113">
        <f t="shared" ca="1" si="14"/>
        <v>16.449147240448003</v>
      </c>
      <c r="AV23" s="113">
        <f t="shared" ca="1" si="14"/>
        <v>16.449147240448003</v>
      </c>
      <c r="AW23" s="113">
        <f t="shared" ca="1" si="14"/>
        <v>16.449147240448003</v>
      </c>
      <c r="AX23" s="113">
        <f t="shared" ca="1" si="14"/>
        <v>17.107113130065922</v>
      </c>
      <c r="AY23" s="113">
        <f t="shared" ca="1" si="14"/>
        <v>17.107113130065922</v>
      </c>
      <c r="AZ23" s="113">
        <f t="shared" ca="1" si="14"/>
        <v>17.107113130065922</v>
      </c>
      <c r="BA23" s="113">
        <f t="shared" ca="1" si="14"/>
        <v>17.107113130065922</v>
      </c>
      <c r="BB23" s="8" t="s">
        <v>75</v>
      </c>
    </row>
    <row r="24" spans="1:57" x14ac:dyDescent="0.2">
      <c r="B24" s="22" t="s">
        <v>132</v>
      </c>
      <c r="C24" s="19"/>
      <c r="D24" s="19"/>
      <c r="E24" s="11"/>
      <c r="F24" s="11"/>
      <c r="G24" s="11"/>
      <c r="H24" s="11"/>
      <c r="I24" s="11"/>
      <c r="J24" s="11"/>
      <c r="K24" s="11"/>
      <c r="L24" s="11"/>
      <c r="M24" s="11"/>
      <c r="N24" s="11"/>
      <c r="R24" s="25"/>
      <c r="S24" s="12"/>
      <c r="T24" s="12"/>
      <c r="U24" s="12"/>
      <c r="V24" s="23">
        <f ca="1">+V20*V22/1000+V21*V23/1000</f>
        <v>0</v>
      </c>
      <c r="W24" s="23">
        <f t="shared" ref="W24:BA24" ca="1" si="15">+W20*W22/1000+W21*W23/1000</f>
        <v>0</v>
      </c>
      <c r="X24" s="23">
        <f t="shared" ca="1" si="15"/>
        <v>0</v>
      </c>
      <c r="Y24" s="23">
        <f t="shared" ca="1" si="15"/>
        <v>0</v>
      </c>
      <c r="Z24" s="23">
        <f t="shared" ca="1" si="15"/>
        <v>0</v>
      </c>
      <c r="AA24" s="23">
        <f t="shared" ca="1" si="15"/>
        <v>0</v>
      </c>
      <c r="AB24" s="23">
        <f t="shared" ca="1" si="15"/>
        <v>0</v>
      </c>
      <c r="AC24" s="23">
        <f t="shared" ca="1" si="15"/>
        <v>0</v>
      </c>
      <c r="AD24" s="23">
        <f t="shared" ca="1" si="15"/>
        <v>0</v>
      </c>
      <c r="AE24" s="23">
        <f t="shared" ca="1" si="15"/>
        <v>0</v>
      </c>
      <c r="AF24" s="23">
        <f t="shared" ca="1" si="15"/>
        <v>0</v>
      </c>
      <c r="AG24" s="23">
        <f t="shared" ca="1" si="15"/>
        <v>0</v>
      </c>
      <c r="AH24" s="23">
        <f t="shared" ca="1" si="15"/>
        <v>0</v>
      </c>
      <c r="AI24" s="23">
        <f t="shared" ca="1" si="15"/>
        <v>0</v>
      </c>
      <c r="AJ24" s="23">
        <f t="shared" ca="1" si="15"/>
        <v>0</v>
      </c>
      <c r="AK24" s="23">
        <f t="shared" ca="1" si="15"/>
        <v>0</v>
      </c>
      <c r="AL24" s="23">
        <f t="shared" ca="1" si="15"/>
        <v>0</v>
      </c>
      <c r="AM24" s="23">
        <f t="shared" ca="1" si="15"/>
        <v>0</v>
      </c>
      <c r="AN24" s="23">
        <f t="shared" ca="1" si="15"/>
        <v>0</v>
      </c>
      <c r="AO24" s="23">
        <f t="shared" ca="1" si="15"/>
        <v>0</v>
      </c>
      <c r="AP24" s="23">
        <f t="shared" ca="1" si="15"/>
        <v>0</v>
      </c>
      <c r="AQ24" s="23">
        <f t="shared" ca="1" si="15"/>
        <v>0</v>
      </c>
      <c r="AR24" s="23">
        <f t="shared" ca="1" si="15"/>
        <v>0</v>
      </c>
      <c r="AS24" s="23">
        <f t="shared" ca="1" si="15"/>
        <v>0</v>
      </c>
      <c r="AT24" s="23">
        <f t="shared" ca="1" si="15"/>
        <v>0</v>
      </c>
      <c r="AU24" s="23">
        <f t="shared" ca="1" si="15"/>
        <v>0</v>
      </c>
      <c r="AV24" s="23">
        <f t="shared" ca="1" si="15"/>
        <v>0</v>
      </c>
      <c r="AW24" s="23">
        <f t="shared" ca="1" si="15"/>
        <v>0</v>
      </c>
      <c r="AX24" s="23">
        <f t="shared" ca="1" si="15"/>
        <v>0</v>
      </c>
      <c r="AY24" s="23">
        <f t="shared" ca="1" si="15"/>
        <v>0</v>
      </c>
      <c r="AZ24" s="23">
        <f t="shared" ca="1" si="15"/>
        <v>0</v>
      </c>
      <c r="BA24" s="23">
        <f t="shared" ca="1" si="15"/>
        <v>0</v>
      </c>
      <c r="BB24" s="8" t="s">
        <v>75</v>
      </c>
    </row>
    <row r="25" spans="1:57" x14ac:dyDescent="0.2">
      <c r="B25" s="22" t="s">
        <v>136</v>
      </c>
      <c r="C25" s="19"/>
      <c r="D25" s="19"/>
      <c r="E25" s="11"/>
      <c r="F25" s="11"/>
      <c r="G25" s="11"/>
      <c r="H25" s="11"/>
      <c r="I25" s="11"/>
      <c r="J25" s="11"/>
      <c r="K25" s="11"/>
      <c r="L25" s="11"/>
      <c r="M25" s="11"/>
      <c r="N25" s="11"/>
      <c r="R25" s="25"/>
      <c r="S25" s="12"/>
      <c r="T25" s="12"/>
      <c r="U25" s="12"/>
      <c r="V25" s="23">
        <f ca="1">+V26-V24</f>
        <v>0</v>
      </c>
      <c r="W25" s="23">
        <f t="shared" ref="W25:BA25" ca="1" si="16">+W26-W24</f>
        <v>0</v>
      </c>
      <c r="X25" s="23">
        <f t="shared" ca="1" si="16"/>
        <v>0</v>
      </c>
      <c r="Y25" s="23">
        <f t="shared" ca="1" si="16"/>
        <v>0</v>
      </c>
      <c r="Z25" s="23">
        <f t="shared" ca="1" si="16"/>
        <v>0</v>
      </c>
      <c r="AA25" s="23">
        <f t="shared" ca="1" si="16"/>
        <v>0</v>
      </c>
      <c r="AB25" s="23">
        <f t="shared" ca="1" si="16"/>
        <v>0</v>
      </c>
      <c r="AC25" s="23">
        <f t="shared" ca="1" si="16"/>
        <v>0</v>
      </c>
      <c r="AD25" s="23">
        <f t="shared" ca="1" si="16"/>
        <v>0</v>
      </c>
      <c r="AE25" s="23">
        <f t="shared" ca="1" si="16"/>
        <v>0</v>
      </c>
      <c r="AF25" s="23">
        <f t="shared" ca="1" si="16"/>
        <v>0</v>
      </c>
      <c r="AG25" s="23">
        <f t="shared" ca="1" si="16"/>
        <v>0</v>
      </c>
      <c r="AH25" s="23">
        <f t="shared" ca="1" si="16"/>
        <v>0</v>
      </c>
      <c r="AI25" s="23">
        <f t="shared" ca="1" si="16"/>
        <v>0</v>
      </c>
      <c r="AJ25" s="23">
        <f t="shared" ca="1" si="16"/>
        <v>0</v>
      </c>
      <c r="AK25" s="23">
        <f t="shared" ca="1" si="16"/>
        <v>0</v>
      </c>
      <c r="AL25" s="23">
        <f t="shared" ca="1" si="16"/>
        <v>0</v>
      </c>
      <c r="AM25" s="23">
        <f t="shared" ca="1" si="16"/>
        <v>0</v>
      </c>
      <c r="AN25" s="23">
        <f t="shared" ca="1" si="16"/>
        <v>0</v>
      </c>
      <c r="AO25" s="23">
        <f t="shared" ca="1" si="16"/>
        <v>0</v>
      </c>
      <c r="AP25" s="23">
        <f t="shared" ca="1" si="16"/>
        <v>0</v>
      </c>
      <c r="AQ25" s="23">
        <f t="shared" ca="1" si="16"/>
        <v>0</v>
      </c>
      <c r="AR25" s="23">
        <f t="shared" ca="1" si="16"/>
        <v>0</v>
      </c>
      <c r="AS25" s="23">
        <f t="shared" ca="1" si="16"/>
        <v>0</v>
      </c>
      <c r="AT25" s="23">
        <f t="shared" ca="1" si="16"/>
        <v>0</v>
      </c>
      <c r="AU25" s="23">
        <f t="shared" ca="1" si="16"/>
        <v>0</v>
      </c>
      <c r="AV25" s="23">
        <f t="shared" ca="1" si="16"/>
        <v>0</v>
      </c>
      <c r="AW25" s="23">
        <f t="shared" ca="1" si="16"/>
        <v>0</v>
      </c>
      <c r="AX25" s="23">
        <f t="shared" ca="1" si="16"/>
        <v>0</v>
      </c>
      <c r="AY25" s="23">
        <f t="shared" ca="1" si="16"/>
        <v>0</v>
      </c>
      <c r="AZ25" s="23">
        <f t="shared" ca="1" si="16"/>
        <v>0</v>
      </c>
      <c r="BA25" s="23">
        <f t="shared" ca="1" si="16"/>
        <v>0</v>
      </c>
      <c r="BB25" s="8" t="s">
        <v>75</v>
      </c>
    </row>
    <row r="26" spans="1:57" s="2" customFormat="1" x14ac:dyDescent="0.2">
      <c r="B26" s="34" t="s">
        <v>140</v>
      </c>
      <c r="C26" s="18"/>
      <c r="D26" s="18"/>
      <c r="E26" s="13"/>
      <c r="F26" s="13"/>
      <c r="G26" s="13"/>
      <c r="H26" s="13"/>
      <c r="I26" s="13"/>
      <c r="J26" s="13"/>
      <c r="K26" s="13"/>
      <c r="L26" s="13"/>
      <c r="M26" s="13"/>
      <c r="N26" s="13"/>
      <c r="R26" s="32"/>
      <c r="S26" s="16"/>
      <c r="T26" s="16"/>
      <c r="U26" s="16"/>
      <c r="V26" s="24">
        <f ca="1">+V24*V27</f>
        <v>0</v>
      </c>
      <c r="W26" s="24">
        <f t="shared" ref="W26:BA26" ca="1" si="17">+W24*W27</f>
        <v>0</v>
      </c>
      <c r="X26" s="24">
        <f t="shared" ca="1" si="17"/>
        <v>0</v>
      </c>
      <c r="Y26" s="24">
        <f t="shared" ca="1" si="17"/>
        <v>0</v>
      </c>
      <c r="Z26" s="24">
        <f t="shared" ca="1" si="17"/>
        <v>0</v>
      </c>
      <c r="AA26" s="24">
        <f t="shared" ca="1" si="17"/>
        <v>0</v>
      </c>
      <c r="AB26" s="24">
        <f t="shared" ca="1" si="17"/>
        <v>0</v>
      </c>
      <c r="AC26" s="24">
        <f t="shared" ca="1" si="17"/>
        <v>0</v>
      </c>
      <c r="AD26" s="24">
        <f t="shared" ca="1" si="17"/>
        <v>0</v>
      </c>
      <c r="AE26" s="24">
        <f t="shared" ca="1" si="17"/>
        <v>0</v>
      </c>
      <c r="AF26" s="24">
        <f t="shared" ca="1" si="17"/>
        <v>0</v>
      </c>
      <c r="AG26" s="24">
        <f t="shared" ca="1" si="17"/>
        <v>0</v>
      </c>
      <c r="AH26" s="24">
        <f t="shared" ca="1" si="17"/>
        <v>0</v>
      </c>
      <c r="AI26" s="24">
        <f t="shared" ca="1" si="17"/>
        <v>0</v>
      </c>
      <c r="AJ26" s="24">
        <f t="shared" ca="1" si="17"/>
        <v>0</v>
      </c>
      <c r="AK26" s="24">
        <f t="shared" ca="1" si="17"/>
        <v>0</v>
      </c>
      <c r="AL26" s="24">
        <f t="shared" ca="1" si="17"/>
        <v>0</v>
      </c>
      <c r="AM26" s="24">
        <f t="shared" ca="1" si="17"/>
        <v>0</v>
      </c>
      <c r="AN26" s="24">
        <f t="shared" ca="1" si="17"/>
        <v>0</v>
      </c>
      <c r="AO26" s="24">
        <f t="shared" ca="1" si="17"/>
        <v>0</v>
      </c>
      <c r="AP26" s="24">
        <f t="shared" ca="1" si="17"/>
        <v>0</v>
      </c>
      <c r="AQ26" s="24">
        <f t="shared" ca="1" si="17"/>
        <v>0</v>
      </c>
      <c r="AR26" s="24">
        <f t="shared" ca="1" si="17"/>
        <v>0</v>
      </c>
      <c r="AS26" s="24">
        <f t="shared" ca="1" si="17"/>
        <v>0</v>
      </c>
      <c r="AT26" s="24">
        <f t="shared" ca="1" si="17"/>
        <v>0</v>
      </c>
      <c r="AU26" s="24">
        <f t="shared" ca="1" si="17"/>
        <v>0</v>
      </c>
      <c r="AV26" s="24">
        <f t="shared" ca="1" si="17"/>
        <v>0</v>
      </c>
      <c r="AW26" s="24">
        <f t="shared" ca="1" si="17"/>
        <v>0</v>
      </c>
      <c r="AX26" s="24">
        <f t="shared" ca="1" si="17"/>
        <v>0</v>
      </c>
      <c r="AY26" s="24">
        <f t="shared" ca="1" si="17"/>
        <v>0</v>
      </c>
      <c r="AZ26" s="24">
        <f t="shared" ca="1" si="17"/>
        <v>0</v>
      </c>
      <c r="BA26" s="24">
        <f t="shared" ca="1" si="17"/>
        <v>0</v>
      </c>
      <c r="BB26" s="83" t="s">
        <v>75</v>
      </c>
    </row>
    <row r="27" spans="1:57" s="25" customFormat="1" x14ac:dyDescent="0.2">
      <c r="B27" s="26" t="s">
        <v>215</v>
      </c>
      <c r="C27" s="26"/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S27" s="28"/>
      <c r="T27" s="28"/>
      <c r="U27" s="28"/>
      <c r="V27" s="29">
        <v>0.6</v>
      </c>
      <c r="W27" s="29">
        <v>0.6</v>
      </c>
      <c r="X27" s="29">
        <v>0.6</v>
      </c>
      <c r="Y27" s="29">
        <v>0.6</v>
      </c>
      <c r="Z27" s="29">
        <v>0.6</v>
      </c>
      <c r="AA27" s="29">
        <v>0.6</v>
      </c>
      <c r="AB27" s="29">
        <v>0.6</v>
      </c>
      <c r="AC27" s="29">
        <v>0.6</v>
      </c>
      <c r="AD27" s="29">
        <v>0.6</v>
      </c>
      <c r="AE27" s="29">
        <v>0.6</v>
      </c>
      <c r="AF27" s="29">
        <v>0.6</v>
      </c>
      <c r="AG27" s="29">
        <v>0.6</v>
      </c>
      <c r="AH27" s="29">
        <v>0.6</v>
      </c>
      <c r="AI27" s="29">
        <v>0.6</v>
      </c>
      <c r="AJ27" s="29">
        <v>0.6</v>
      </c>
      <c r="AK27" s="29">
        <v>0.6</v>
      </c>
      <c r="AL27" s="29">
        <v>0.6</v>
      </c>
      <c r="AM27" s="29">
        <v>0.6</v>
      </c>
      <c r="AN27" s="29">
        <v>0.6</v>
      </c>
      <c r="AO27" s="29">
        <v>0.6</v>
      </c>
      <c r="AP27" s="29">
        <v>0.6</v>
      </c>
      <c r="AQ27" s="29">
        <v>0.6</v>
      </c>
      <c r="AR27" s="29">
        <v>0.6</v>
      </c>
      <c r="AS27" s="29">
        <v>0.6</v>
      </c>
      <c r="AT27" s="29">
        <v>0.6</v>
      </c>
      <c r="AU27" s="29">
        <v>0.6</v>
      </c>
      <c r="AV27" s="29">
        <v>0.6</v>
      </c>
      <c r="AW27" s="29">
        <v>0.6</v>
      </c>
      <c r="AX27" s="29">
        <v>0.6</v>
      </c>
      <c r="AY27" s="29">
        <v>0.6</v>
      </c>
      <c r="AZ27" s="29">
        <v>0.6</v>
      </c>
      <c r="BA27" s="29">
        <v>0.6</v>
      </c>
      <c r="BB27" s="88" t="s">
        <v>75</v>
      </c>
    </row>
    <row r="28" spans="1:57" x14ac:dyDescent="0.2">
      <c r="B28" s="19"/>
      <c r="C28" s="19"/>
      <c r="D28" s="19"/>
      <c r="E28" s="11"/>
      <c r="F28" s="11"/>
      <c r="G28" s="11"/>
      <c r="H28" s="11"/>
      <c r="I28" s="11"/>
      <c r="J28" s="11"/>
      <c r="K28" s="11"/>
      <c r="L28" s="11"/>
      <c r="M28" s="11"/>
      <c r="N28" s="11"/>
      <c r="R28" s="25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V28" s="69"/>
      <c r="AW28" s="69"/>
      <c r="AX28" s="69"/>
      <c r="AY28" s="69"/>
      <c r="AZ28" s="69"/>
      <c r="BA28" s="69"/>
      <c r="BB28" s="88" t="s">
        <v>75</v>
      </c>
    </row>
    <row r="29" spans="1:57" s="35" customFormat="1" x14ac:dyDescent="0.2">
      <c r="A29" s="17" t="s">
        <v>75</v>
      </c>
      <c r="B29" s="36" t="s">
        <v>625</v>
      </c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37"/>
      <c r="P29" s="37"/>
      <c r="Q29" s="37"/>
      <c r="U29" s="37"/>
      <c r="V29" s="37"/>
      <c r="W29" s="37"/>
      <c r="X29" s="37"/>
      <c r="Y29" s="37"/>
      <c r="Z29" s="44"/>
      <c r="AA29" s="44"/>
      <c r="AB29" s="44"/>
      <c r="AC29" s="37"/>
      <c r="AD29" s="44"/>
      <c r="AE29" s="44"/>
      <c r="AF29" s="44"/>
      <c r="AG29" s="37"/>
      <c r="AH29" s="44"/>
      <c r="AI29" s="44"/>
      <c r="AJ29" s="44"/>
      <c r="AK29" s="44"/>
      <c r="AL29" s="44"/>
      <c r="AM29" s="44"/>
      <c r="AN29" s="44"/>
      <c r="AO29" s="44"/>
      <c r="AP29" s="44"/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90" t="s">
        <v>75</v>
      </c>
      <c r="BE29" s="90"/>
    </row>
    <row r="30" spans="1:57" x14ac:dyDescent="0.2">
      <c r="B30" s="22" t="s">
        <v>621</v>
      </c>
      <c r="C30" s="45"/>
      <c r="D30" s="19"/>
      <c r="E30" s="11"/>
      <c r="F30" s="11"/>
      <c r="G30" s="312"/>
      <c r="H30" s="312"/>
      <c r="I30" s="312"/>
      <c r="J30" s="312"/>
      <c r="K30" s="312"/>
      <c r="L30" s="312"/>
      <c r="M30" s="312"/>
      <c r="N30" s="312"/>
      <c r="O30" s="11"/>
      <c r="S30" s="31"/>
      <c r="T30" s="31"/>
      <c r="U30" s="31"/>
      <c r="V30" s="23">
        <f ca="1">+V13</f>
        <v>0</v>
      </c>
      <c r="W30" s="23">
        <f t="shared" ref="W30:BA30" ca="1" si="18">+W13</f>
        <v>0</v>
      </c>
      <c r="X30" s="23">
        <f t="shared" ca="1" si="18"/>
        <v>0</v>
      </c>
      <c r="Y30" s="23">
        <f t="shared" ca="1" si="18"/>
        <v>0</v>
      </c>
      <c r="Z30" s="23">
        <f t="shared" ca="1" si="18"/>
        <v>0</v>
      </c>
      <c r="AA30" s="23">
        <f t="shared" ca="1" si="18"/>
        <v>0</v>
      </c>
      <c r="AB30" s="23">
        <f t="shared" ca="1" si="18"/>
        <v>0</v>
      </c>
      <c r="AC30" s="23">
        <f t="shared" ca="1" si="18"/>
        <v>0</v>
      </c>
      <c r="AD30" s="23">
        <f t="shared" ca="1" si="18"/>
        <v>0</v>
      </c>
      <c r="AE30" s="23">
        <f t="shared" ca="1" si="18"/>
        <v>0</v>
      </c>
      <c r="AF30" s="23">
        <f t="shared" ca="1" si="18"/>
        <v>0</v>
      </c>
      <c r="AG30" s="23">
        <f t="shared" ca="1" si="18"/>
        <v>0</v>
      </c>
      <c r="AH30" s="23">
        <f t="shared" ca="1" si="18"/>
        <v>0</v>
      </c>
      <c r="AI30" s="23">
        <f t="shared" ca="1" si="18"/>
        <v>0</v>
      </c>
      <c r="AJ30" s="23">
        <f t="shared" ca="1" si="18"/>
        <v>0</v>
      </c>
      <c r="AK30" s="23">
        <f t="shared" ca="1" si="18"/>
        <v>0</v>
      </c>
      <c r="AL30" s="23">
        <f t="shared" ca="1" si="18"/>
        <v>0</v>
      </c>
      <c r="AM30" s="23">
        <f t="shared" ca="1" si="18"/>
        <v>0</v>
      </c>
      <c r="AN30" s="23">
        <f t="shared" ca="1" si="18"/>
        <v>0</v>
      </c>
      <c r="AO30" s="23">
        <f t="shared" ca="1" si="18"/>
        <v>0</v>
      </c>
      <c r="AP30" s="23">
        <f t="shared" ca="1" si="18"/>
        <v>0</v>
      </c>
      <c r="AQ30" s="23">
        <f t="shared" ca="1" si="18"/>
        <v>0</v>
      </c>
      <c r="AR30" s="23">
        <f t="shared" ca="1" si="18"/>
        <v>0</v>
      </c>
      <c r="AS30" s="23">
        <f t="shared" ca="1" si="18"/>
        <v>0</v>
      </c>
      <c r="AT30" s="23">
        <f t="shared" ca="1" si="18"/>
        <v>0</v>
      </c>
      <c r="AU30" s="23">
        <f t="shared" ca="1" si="18"/>
        <v>0</v>
      </c>
      <c r="AV30" s="23">
        <f t="shared" ca="1" si="18"/>
        <v>0</v>
      </c>
      <c r="AW30" s="23">
        <f t="shared" ca="1" si="18"/>
        <v>0</v>
      </c>
      <c r="AX30" s="23">
        <f t="shared" ca="1" si="18"/>
        <v>0</v>
      </c>
      <c r="AY30" s="23">
        <f t="shared" ca="1" si="18"/>
        <v>0</v>
      </c>
      <c r="AZ30" s="23">
        <f t="shared" ca="1" si="18"/>
        <v>0</v>
      </c>
      <c r="BA30" s="23">
        <f t="shared" ca="1" si="18"/>
        <v>0</v>
      </c>
      <c r="BB30" s="8" t="s">
        <v>75</v>
      </c>
    </row>
    <row r="31" spans="1:57" x14ac:dyDescent="0.2">
      <c r="B31" s="22" t="s">
        <v>620</v>
      </c>
      <c r="C31" s="45"/>
      <c r="D31" s="19"/>
      <c r="E31" s="11"/>
      <c r="F31" s="11"/>
      <c r="G31" s="312"/>
      <c r="H31" s="312"/>
      <c r="I31" s="312"/>
      <c r="J31" s="312"/>
      <c r="K31" s="312"/>
      <c r="L31" s="312"/>
      <c r="M31" s="312"/>
      <c r="N31" s="312"/>
      <c r="O31" s="11"/>
      <c r="S31" s="31"/>
      <c r="T31" s="31"/>
      <c r="U31" s="31"/>
      <c r="V31" s="23">
        <f ca="1">+V20</f>
        <v>0</v>
      </c>
      <c r="W31" s="23">
        <f t="shared" ref="W31:BA31" ca="1" si="19">+W20</f>
        <v>0</v>
      </c>
      <c r="X31" s="23">
        <f t="shared" ca="1" si="19"/>
        <v>0</v>
      </c>
      <c r="Y31" s="23">
        <f t="shared" ca="1" si="19"/>
        <v>0</v>
      </c>
      <c r="Z31" s="23">
        <f t="shared" ca="1" si="19"/>
        <v>0</v>
      </c>
      <c r="AA31" s="23">
        <f t="shared" ca="1" si="19"/>
        <v>0</v>
      </c>
      <c r="AB31" s="23">
        <f t="shared" ca="1" si="19"/>
        <v>0</v>
      </c>
      <c r="AC31" s="23">
        <f t="shared" ca="1" si="19"/>
        <v>0</v>
      </c>
      <c r="AD31" s="23">
        <f t="shared" ca="1" si="19"/>
        <v>0</v>
      </c>
      <c r="AE31" s="23">
        <f t="shared" ca="1" si="19"/>
        <v>0</v>
      </c>
      <c r="AF31" s="23">
        <f t="shared" ca="1" si="19"/>
        <v>0</v>
      </c>
      <c r="AG31" s="23">
        <f t="shared" ca="1" si="19"/>
        <v>0</v>
      </c>
      <c r="AH31" s="23">
        <f t="shared" ca="1" si="19"/>
        <v>0</v>
      </c>
      <c r="AI31" s="23">
        <f t="shared" ca="1" si="19"/>
        <v>0</v>
      </c>
      <c r="AJ31" s="23">
        <f t="shared" ca="1" si="19"/>
        <v>0</v>
      </c>
      <c r="AK31" s="23">
        <f t="shared" ca="1" si="19"/>
        <v>0</v>
      </c>
      <c r="AL31" s="23">
        <f t="shared" ca="1" si="19"/>
        <v>0</v>
      </c>
      <c r="AM31" s="23">
        <f t="shared" ca="1" si="19"/>
        <v>0</v>
      </c>
      <c r="AN31" s="23">
        <f t="shared" ca="1" si="19"/>
        <v>0</v>
      </c>
      <c r="AO31" s="23">
        <f t="shared" ca="1" si="19"/>
        <v>0</v>
      </c>
      <c r="AP31" s="23">
        <f t="shared" ca="1" si="19"/>
        <v>0</v>
      </c>
      <c r="AQ31" s="23">
        <f t="shared" ca="1" si="19"/>
        <v>0</v>
      </c>
      <c r="AR31" s="23">
        <f t="shared" ca="1" si="19"/>
        <v>0</v>
      </c>
      <c r="AS31" s="23">
        <f t="shared" ca="1" si="19"/>
        <v>0</v>
      </c>
      <c r="AT31" s="23">
        <f t="shared" ca="1" si="19"/>
        <v>0</v>
      </c>
      <c r="AU31" s="23">
        <f t="shared" ca="1" si="19"/>
        <v>0</v>
      </c>
      <c r="AV31" s="23">
        <f t="shared" ca="1" si="19"/>
        <v>0</v>
      </c>
      <c r="AW31" s="23">
        <f t="shared" ca="1" si="19"/>
        <v>0</v>
      </c>
      <c r="AX31" s="23">
        <f t="shared" ca="1" si="19"/>
        <v>0</v>
      </c>
      <c r="AY31" s="23">
        <f t="shared" ca="1" si="19"/>
        <v>0</v>
      </c>
      <c r="AZ31" s="23">
        <f t="shared" ca="1" si="19"/>
        <v>0</v>
      </c>
      <c r="BA31" s="23">
        <f t="shared" ca="1" si="19"/>
        <v>0</v>
      </c>
      <c r="BB31" s="8" t="s">
        <v>75</v>
      </c>
    </row>
    <row r="32" spans="1:57" x14ac:dyDescent="0.2">
      <c r="B32" s="22" t="s">
        <v>622</v>
      </c>
      <c r="C32" s="45"/>
      <c r="D32" s="19"/>
      <c r="E32" s="11"/>
      <c r="F32" s="11"/>
      <c r="G32" s="312"/>
      <c r="H32" s="312"/>
      <c r="I32" s="312"/>
      <c r="J32" s="312"/>
      <c r="K32" s="312"/>
      <c r="L32" s="312"/>
      <c r="M32" s="312"/>
      <c r="N32" s="312"/>
      <c r="O32" s="11"/>
      <c r="S32" s="31"/>
      <c r="T32" s="31"/>
      <c r="U32" s="31"/>
      <c r="V32" s="23">
        <f ca="1">+V21</f>
        <v>0</v>
      </c>
      <c r="W32" s="23">
        <f t="shared" ref="W32:BA32" ca="1" si="20">+W21</f>
        <v>0</v>
      </c>
      <c r="X32" s="23">
        <f t="shared" ca="1" si="20"/>
        <v>0</v>
      </c>
      <c r="Y32" s="23">
        <f t="shared" ca="1" si="20"/>
        <v>0</v>
      </c>
      <c r="Z32" s="23">
        <f t="shared" ca="1" si="20"/>
        <v>0</v>
      </c>
      <c r="AA32" s="23">
        <f t="shared" ca="1" si="20"/>
        <v>0</v>
      </c>
      <c r="AB32" s="23">
        <f t="shared" ca="1" si="20"/>
        <v>0</v>
      </c>
      <c r="AC32" s="23">
        <f t="shared" ca="1" si="20"/>
        <v>0</v>
      </c>
      <c r="AD32" s="23">
        <f t="shared" ca="1" si="20"/>
        <v>0</v>
      </c>
      <c r="AE32" s="23">
        <f t="shared" ca="1" si="20"/>
        <v>0</v>
      </c>
      <c r="AF32" s="23">
        <f t="shared" ca="1" si="20"/>
        <v>0</v>
      </c>
      <c r="AG32" s="23">
        <f t="shared" ca="1" si="20"/>
        <v>0</v>
      </c>
      <c r="AH32" s="23">
        <f t="shared" ca="1" si="20"/>
        <v>0</v>
      </c>
      <c r="AI32" s="23">
        <f t="shared" ca="1" si="20"/>
        <v>0</v>
      </c>
      <c r="AJ32" s="23">
        <f t="shared" ca="1" si="20"/>
        <v>0</v>
      </c>
      <c r="AK32" s="23">
        <f t="shared" ca="1" si="20"/>
        <v>0</v>
      </c>
      <c r="AL32" s="23">
        <f t="shared" ca="1" si="20"/>
        <v>0</v>
      </c>
      <c r="AM32" s="23">
        <f t="shared" ca="1" si="20"/>
        <v>0</v>
      </c>
      <c r="AN32" s="23">
        <f t="shared" ca="1" si="20"/>
        <v>0</v>
      </c>
      <c r="AO32" s="23">
        <f t="shared" ca="1" si="20"/>
        <v>0</v>
      </c>
      <c r="AP32" s="23">
        <f t="shared" ca="1" si="20"/>
        <v>0</v>
      </c>
      <c r="AQ32" s="23">
        <f t="shared" ca="1" si="20"/>
        <v>0</v>
      </c>
      <c r="AR32" s="23">
        <f t="shared" ca="1" si="20"/>
        <v>0</v>
      </c>
      <c r="AS32" s="23">
        <f t="shared" ca="1" si="20"/>
        <v>0</v>
      </c>
      <c r="AT32" s="23">
        <f t="shared" ca="1" si="20"/>
        <v>0</v>
      </c>
      <c r="AU32" s="23">
        <f t="shared" ca="1" si="20"/>
        <v>0</v>
      </c>
      <c r="AV32" s="23">
        <f t="shared" ca="1" si="20"/>
        <v>0</v>
      </c>
      <c r="AW32" s="23">
        <f t="shared" ca="1" si="20"/>
        <v>0</v>
      </c>
      <c r="AX32" s="23">
        <f t="shared" ca="1" si="20"/>
        <v>0</v>
      </c>
      <c r="AY32" s="23">
        <f t="shared" ca="1" si="20"/>
        <v>0</v>
      </c>
      <c r="AZ32" s="23">
        <f t="shared" ca="1" si="20"/>
        <v>0</v>
      </c>
      <c r="BA32" s="23">
        <f t="shared" ca="1" si="20"/>
        <v>0</v>
      </c>
      <c r="BB32" s="8" t="s">
        <v>75</v>
      </c>
    </row>
    <row r="33" spans="2:54" x14ac:dyDescent="0.2">
      <c r="B33" s="22" t="s">
        <v>132</v>
      </c>
      <c r="C33" s="19"/>
      <c r="D33" s="19"/>
      <c r="E33" s="11"/>
      <c r="F33" s="11"/>
      <c r="G33" s="11"/>
      <c r="H33" s="11"/>
      <c r="I33" s="11"/>
      <c r="J33" s="11"/>
      <c r="K33" s="11"/>
      <c r="L33" s="11"/>
      <c r="M33" s="11"/>
      <c r="N33" s="11"/>
      <c r="R33" s="25"/>
      <c r="S33" s="12"/>
      <c r="T33" s="12"/>
      <c r="U33" s="12"/>
      <c r="V33" s="23">
        <f ca="1">+V15+V24*V$9</f>
        <v>0</v>
      </c>
      <c r="W33" s="23">
        <f t="shared" ref="W33:BA33" ca="1" si="21">+W15+W24*W$9</f>
        <v>0</v>
      </c>
      <c r="X33" s="23">
        <f t="shared" ca="1" si="21"/>
        <v>0</v>
      </c>
      <c r="Y33" s="23">
        <f t="shared" ca="1" si="21"/>
        <v>0</v>
      </c>
      <c r="Z33" s="23">
        <f t="shared" ca="1" si="21"/>
        <v>0</v>
      </c>
      <c r="AA33" s="23">
        <f t="shared" ca="1" si="21"/>
        <v>0</v>
      </c>
      <c r="AB33" s="23">
        <f t="shared" ca="1" si="21"/>
        <v>0</v>
      </c>
      <c r="AC33" s="23">
        <f t="shared" ca="1" si="21"/>
        <v>0</v>
      </c>
      <c r="AD33" s="23">
        <f t="shared" ca="1" si="21"/>
        <v>0</v>
      </c>
      <c r="AE33" s="23">
        <f t="shared" ca="1" si="21"/>
        <v>0</v>
      </c>
      <c r="AF33" s="23">
        <f t="shared" ca="1" si="21"/>
        <v>0</v>
      </c>
      <c r="AG33" s="23">
        <f t="shared" ca="1" si="21"/>
        <v>0</v>
      </c>
      <c r="AH33" s="23">
        <f t="shared" ca="1" si="21"/>
        <v>0</v>
      </c>
      <c r="AI33" s="23">
        <f t="shared" ca="1" si="21"/>
        <v>0</v>
      </c>
      <c r="AJ33" s="23">
        <f t="shared" ca="1" si="21"/>
        <v>0</v>
      </c>
      <c r="AK33" s="23">
        <f t="shared" ca="1" si="21"/>
        <v>0</v>
      </c>
      <c r="AL33" s="23">
        <f t="shared" ca="1" si="21"/>
        <v>0</v>
      </c>
      <c r="AM33" s="23">
        <f t="shared" ca="1" si="21"/>
        <v>0</v>
      </c>
      <c r="AN33" s="23">
        <f t="shared" ca="1" si="21"/>
        <v>0</v>
      </c>
      <c r="AO33" s="23">
        <f t="shared" ca="1" si="21"/>
        <v>0</v>
      </c>
      <c r="AP33" s="23">
        <f t="shared" ca="1" si="21"/>
        <v>0</v>
      </c>
      <c r="AQ33" s="23">
        <f t="shared" ca="1" si="21"/>
        <v>0</v>
      </c>
      <c r="AR33" s="23">
        <f t="shared" ca="1" si="21"/>
        <v>0</v>
      </c>
      <c r="AS33" s="23">
        <f t="shared" ca="1" si="21"/>
        <v>0</v>
      </c>
      <c r="AT33" s="23">
        <f t="shared" ca="1" si="21"/>
        <v>0</v>
      </c>
      <c r="AU33" s="23">
        <f t="shared" ca="1" si="21"/>
        <v>0</v>
      </c>
      <c r="AV33" s="23">
        <f t="shared" ca="1" si="21"/>
        <v>0</v>
      </c>
      <c r="AW33" s="23">
        <f t="shared" ca="1" si="21"/>
        <v>0</v>
      </c>
      <c r="AX33" s="23">
        <f t="shared" ca="1" si="21"/>
        <v>0</v>
      </c>
      <c r="AY33" s="23">
        <f t="shared" ca="1" si="21"/>
        <v>0</v>
      </c>
      <c r="AZ33" s="23">
        <f t="shared" ca="1" si="21"/>
        <v>0</v>
      </c>
      <c r="BA33" s="23">
        <f t="shared" ca="1" si="21"/>
        <v>0</v>
      </c>
      <c r="BB33" s="8" t="s">
        <v>75</v>
      </c>
    </row>
    <row r="34" spans="2:54" x14ac:dyDescent="0.2">
      <c r="B34" s="22" t="s">
        <v>136</v>
      </c>
      <c r="C34" s="19"/>
      <c r="D34" s="19"/>
      <c r="E34" s="11"/>
      <c r="F34" s="11"/>
      <c r="G34" s="11"/>
      <c r="H34" s="11"/>
      <c r="I34" s="11"/>
      <c r="J34" s="11"/>
      <c r="K34" s="11"/>
      <c r="L34" s="11"/>
      <c r="M34" s="11"/>
      <c r="N34" s="11"/>
      <c r="R34" s="25"/>
      <c r="S34" s="12"/>
      <c r="T34" s="12"/>
      <c r="U34" s="12"/>
      <c r="V34" s="23">
        <f ca="1">+V16+V25*V$9</f>
        <v>0</v>
      </c>
      <c r="W34" s="23">
        <f t="shared" ref="W34:BA34" ca="1" si="22">+W16+W25*W$9</f>
        <v>0</v>
      </c>
      <c r="X34" s="23">
        <f t="shared" ca="1" si="22"/>
        <v>0</v>
      </c>
      <c r="Y34" s="23">
        <f t="shared" ca="1" si="22"/>
        <v>0</v>
      </c>
      <c r="Z34" s="23">
        <f t="shared" ca="1" si="22"/>
        <v>0</v>
      </c>
      <c r="AA34" s="23">
        <f t="shared" ca="1" si="22"/>
        <v>0</v>
      </c>
      <c r="AB34" s="23">
        <f t="shared" ca="1" si="22"/>
        <v>0</v>
      </c>
      <c r="AC34" s="23">
        <f t="shared" ca="1" si="22"/>
        <v>0</v>
      </c>
      <c r="AD34" s="23">
        <f t="shared" ca="1" si="22"/>
        <v>0</v>
      </c>
      <c r="AE34" s="23">
        <f t="shared" ca="1" si="22"/>
        <v>0</v>
      </c>
      <c r="AF34" s="23">
        <f t="shared" ca="1" si="22"/>
        <v>0</v>
      </c>
      <c r="AG34" s="23">
        <f t="shared" ca="1" si="22"/>
        <v>0</v>
      </c>
      <c r="AH34" s="23">
        <f t="shared" ca="1" si="22"/>
        <v>0</v>
      </c>
      <c r="AI34" s="23">
        <f t="shared" ca="1" si="22"/>
        <v>0</v>
      </c>
      <c r="AJ34" s="23">
        <f t="shared" ca="1" si="22"/>
        <v>0</v>
      </c>
      <c r="AK34" s="23">
        <f t="shared" ca="1" si="22"/>
        <v>0</v>
      </c>
      <c r="AL34" s="23">
        <f t="shared" ca="1" si="22"/>
        <v>0</v>
      </c>
      <c r="AM34" s="23">
        <f t="shared" ca="1" si="22"/>
        <v>0</v>
      </c>
      <c r="AN34" s="23">
        <f t="shared" ca="1" si="22"/>
        <v>0</v>
      </c>
      <c r="AO34" s="23">
        <f t="shared" ca="1" si="22"/>
        <v>0</v>
      </c>
      <c r="AP34" s="23">
        <f t="shared" ca="1" si="22"/>
        <v>0</v>
      </c>
      <c r="AQ34" s="23">
        <f t="shared" ca="1" si="22"/>
        <v>0</v>
      </c>
      <c r="AR34" s="23">
        <f t="shared" ca="1" si="22"/>
        <v>0</v>
      </c>
      <c r="AS34" s="23">
        <f t="shared" ca="1" si="22"/>
        <v>0</v>
      </c>
      <c r="AT34" s="23">
        <f t="shared" ca="1" si="22"/>
        <v>0</v>
      </c>
      <c r="AU34" s="23">
        <f t="shared" ca="1" si="22"/>
        <v>0</v>
      </c>
      <c r="AV34" s="23">
        <f t="shared" ca="1" si="22"/>
        <v>0</v>
      </c>
      <c r="AW34" s="23">
        <f t="shared" ca="1" si="22"/>
        <v>0</v>
      </c>
      <c r="AX34" s="23">
        <f t="shared" ca="1" si="22"/>
        <v>0</v>
      </c>
      <c r="AY34" s="23">
        <f t="shared" ca="1" si="22"/>
        <v>0</v>
      </c>
      <c r="AZ34" s="23">
        <f t="shared" ca="1" si="22"/>
        <v>0</v>
      </c>
      <c r="BA34" s="23">
        <f t="shared" ca="1" si="22"/>
        <v>0</v>
      </c>
      <c r="BB34" s="8" t="s">
        <v>75</v>
      </c>
    </row>
    <row r="35" spans="2:54" s="2" customFormat="1" x14ac:dyDescent="0.2">
      <c r="B35" s="34" t="s">
        <v>140</v>
      </c>
      <c r="C35" s="18"/>
      <c r="D35" s="18"/>
      <c r="E35" s="13"/>
      <c r="F35" s="13"/>
      <c r="G35" s="13"/>
      <c r="H35" s="13"/>
      <c r="I35" s="13"/>
      <c r="J35" s="13"/>
      <c r="K35" s="13"/>
      <c r="L35" s="13"/>
      <c r="M35" s="13"/>
      <c r="N35" s="13"/>
      <c r="R35" s="32"/>
      <c r="S35" s="16"/>
      <c r="T35" s="16"/>
      <c r="U35" s="16"/>
      <c r="V35" s="24">
        <f t="shared" ref="V35:BA35" ca="1" si="23">+V17+V26*V$9</f>
        <v>0</v>
      </c>
      <c r="W35" s="24">
        <f t="shared" ca="1" si="23"/>
        <v>0</v>
      </c>
      <c r="X35" s="24">
        <f t="shared" ca="1" si="23"/>
        <v>0</v>
      </c>
      <c r="Y35" s="24">
        <f t="shared" ca="1" si="23"/>
        <v>0</v>
      </c>
      <c r="Z35" s="24">
        <f t="shared" ca="1" si="23"/>
        <v>0</v>
      </c>
      <c r="AA35" s="24">
        <f t="shared" ca="1" si="23"/>
        <v>0</v>
      </c>
      <c r="AB35" s="24">
        <f t="shared" ca="1" si="23"/>
        <v>0</v>
      </c>
      <c r="AC35" s="24">
        <f t="shared" ca="1" si="23"/>
        <v>0</v>
      </c>
      <c r="AD35" s="24">
        <f t="shared" ca="1" si="23"/>
        <v>0</v>
      </c>
      <c r="AE35" s="24">
        <f t="shared" ca="1" si="23"/>
        <v>0</v>
      </c>
      <c r="AF35" s="24">
        <f t="shared" ca="1" si="23"/>
        <v>0</v>
      </c>
      <c r="AG35" s="24">
        <f t="shared" ca="1" si="23"/>
        <v>0</v>
      </c>
      <c r="AH35" s="24">
        <f t="shared" ca="1" si="23"/>
        <v>0</v>
      </c>
      <c r="AI35" s="24">
        <f t="shared" ca="1" si="23"/>
        <v>0</v>
      </c>
      <c r="AJ35" s="24">
        <f t="shared" ca="1" si="23"/>
        <v>0</v>
      </c>
      <c r="AK35" s="24">
        <f t="shared" ca="1" si="23"/>
        <v>0</v>
      </c>
      <c r="AL35" s="24">
        <f t="shared" ca="1" si="23"/>
        <v>0</v>
      </c>
      <c r="AM35" s="24">
        <f t="shared" ca="1" si="23"/>
        <v>0</v>
      </c>
      <c r="AN35" s="24">
        <f t="shared" ca="1" si="23"/>
        <v>0</v>
      </c>
      <c r="AO35" s="24">
        <f t="shared" ca="1" si="23"/>
        <v>0</v>
      </c>
      <c r="AP35" s="24">
        <f t="shared" ca="1" si="23"/>
        <v>0</v>
      </c>
      <c r="AQ35" s="24">
        <f t="shared" ca="1" si="23"/>
        <v>0</v>
      </c>
      <c r="AR35" s="24">
        <f t="shared" ca="1" si="23"/>
        <v>0</v>
      </c>
      <c r="AS35" s="24">
        <f t="shared" ca="1" si="23"/>
        <v>0</v>
      </c>
      <c r="AT35" s="24">
        <f t="shared" ca="1" si="23"/>
        <v>0</v>
      </c>
      <c r="AU35" s="24">
        <f t="shared" ca="1" si="23"/>
        <v>0</v>
      </c>
      <c r="AV35" s="24">
        <f t="shared" ca="1" si="23"/>
        <v>0</v>
      </c>
      <c r="AW35" s="24">
        <f t="shared" ca="1" si="23"/>
        <v>0</v>
      </c>
      <c r="AX35" s="24">
        <f t="shared" ca="1" si="23"/>
        <v>0</v>
      </c>
      <c r="AY35" s="24">
        <f t="shared" ca="1" si="23"/>
        <v>0</v>
      </c>
      <c r="AZ35" s="24">
        <f t="shared" ca="1" si="23"/>
        <v>0</v>
      </c>
      <c r="BA35" s="24">
        <f t="shared" ca="1" si="23"/>
        <v>0</v>
      </c>
      <c r="BB35" s="83" t="s">
        <v>75</v>
      </c>
    </row>
    <row r="36" spans="2:54" x14ac:dyDescent="0.2">
      <c r="G36" s="11"/>
      <c r="H36" s="11"/>
      <c r="I36" s="11"/>
      <c r="J36" s="11"/>
      <c r="K36" s="11"/>
      <c r="L36" s="11"/>
      <c r="M36" s="11"/>
      <c r="N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</row>
    <row r="37" spans="2:54" x14ac:dyDescent="0.2">
      <c r="G37" s="11"/>
      <c r="H37" s="11"/>
      <c r="I37" s="11"/>
      <c r="J37" s="11"/>
      <c r="K37" s="11"/>
      <c r="L37" s="11"/>
      <c r="M37" s="11"/>
      <c r="N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</row>
    <row r="38" spans="2:54" x14ac:dyDescent="0.2">
      <c r="G38" s="11"/>
      <c r="H38" s="11"/>
      <c r="I38" s="11"/>
      <c r="J38" s="11"/>
      <c r="K38" s="11"/>
      <c r="L38" s="11"/>
      <c r="M38" s="11"/>
      <c r="N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</row>
    <row r="40" spans="2:54" x14ac:dyDescent="0.2">
      <c r="G40" s="134"/>
      <c r="H40" s="134"/>
      <c r="I40" s="134"/>
      <c r="J40" s="134"/>
      <c r="K40" s="134"/>
      <c r="L40" s="134"/>
      <c r="M40" s="134"/>
      <c r="N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</row>
    <row r="41" spans="2:54" x14ac:dyDescent="0.2">
      <c r="G41" s="134"/>
      <c r="H41" s="134"/>
      <c r="I41" s="134"/>
      <c r="J41" s="134"/>
      <c r="K41" s="134"/>
      <c r="L41" s="134"/>
      <c r="M41" s="134"/>
      <c r="N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</row>
  </sheetData>
  <conditionalFormatting sqref="C1">
    <cfRule type="cellIs" dxfId="13" priority="2" operator="equal">
      <formula>"OK"</formula>
    </cfRule>
  </conditionalFormatting>
  <conditionalFormatting sqref="C1">
    <cfRule type="cellIs" dxfId="12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15FD4-6AB0-45FE-A585-00BE1B7202CF}">
  <sheetPr>
    <tabColor theme="5" tint="-0.249977111117893"/>
  </sheetPr>
  <dimension ref="A1:AH70"/>
  <sheetViews>
    <sheetView zoomScale="85" zoomScaleNormal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/>
    </sheetView>
  </sheetViews>
  <sheetFormatPr defaultRowHeight="12.75" outlineLevelRow="1" x14ac:dyDescent="0.2"/>
  <cols>
    <col min="1" max="1" width="2.42578125" style="1" customWidth="1"/>
    <col min="2" max="2" width="33" style="1" customWidth="1"/>
    <col min="3" max="29" width="9.140625" style="1"/>
    <col min="30" max="30" width="3.42578125" style="1" customWidth="1"/>
    <col min="31" max="16384" width="9.140625" style="1"/>
  </cols>
  <sheetData>
    <row r="1" spans="1:3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34" s="5" customFormat="1" ht="16.5" x14ac:dyDescent="0.3">
      <c r="A2" s="6" t="s">
        <v>449</v>
      </c>
      <c r="D2" s="211">
        <f ca="1">+Ctrl!G10</f>
        <v>0.32102203236261162</v>
      </c>
    </row>
    <row r="3" spans="1:34" x14ac:dyDescent="0.2">
      <c r="A3" s="1" t="s">
        <v>1</v>
      </c>
      <c r="F3" s="8" t="str">
        <f t="shared" ref="F3:AC3" si="0">+MONTH(F5)/3&amp;"Q"&amp;RIGHT(YEAR(F5),2)</f>
        <v>1Q21</v>
      </c>
      <c r="G3" s="8" t="str">
        <f t="shared" si="0"/>
        <v>2Q21</v>
      </c>
      <c r="H3" s="8" t="str">
        <f t="shared" si="0"/>
        <v>3Q21</v>
      </c>
      <c r="I3" s="8" t="str">
        <f t="shared" si="0"/>
        <v>4Q21</v>
      </c>
      <c r="J3" s="8" t="str">
        <f t="shared" si="0"/>
        <v>1Q22</v>
      </c>
      <c r="K3" s="8" t="str">
        <f t="shared" si="0"/>
        <v>2Q22</v>
      </c>
      <c r="L3" s="8" t="str">
        <f t="shared" si="0"/>
        <v>3Q22</v>
      </c>
      <c r="M3" s="8" t="str">
        <f t="shared" si="0"/>
        <v>4Q22</v>
      </c>
      <c r="N3" s="8" t="str">
        <f t="shared" si="0"/>
        <v>1Q23</v>
      </c>
      <c r="O3" s="8" t="str">
        <f t="shared" si="0"/>
        <v>2Q23</v>
      </c>
      <c r="P3" s="8" t="str">
        <f t="shared" si="0"/>
        <v>3Q23</v>
      </c>
      <c r="Q3" s="8" t="str">
        <f t="shared" si="0"/>
        <v>4Q23</v>
      </c>
      <c r="R3" s="8" t="str">
        <f t="shared" si="0"/>
        <v>1Q24</v>
      </c>
      <c r="S3" s="8" t="str">
        <f t="shared" si="0"/>
        <v>2Q24</v>
      </c>
      <c r="T3" s="8" t="str">
        <f t="shared" si="0"/>
        <v>3Q24</v>
      </c>
      <c r="U3" s="8" t="str">
        <f t="shared" si="0"/>
        <v>4Q24</v>
      </c>
      <c r="V3" s="8" t="str">
        <f t="shared" si="0"/>
        <v>1Q25</v>
      </c>
      <c r="W3" s="8" t="str">
        <f t="shared" si="0"/>
        <v>2Q25</v>
      </c>
      <c r="X3" s="8" t="str">
        <f t="shared" si="0"/>
        <v>3Q25</v>
      </c>
      <c r="Y3" s="8" t="str">
        <f t="shared" si="0"/>
        <v>4Q25</v>
      </c>
      <c r="Z3" s="8" t="str">
        <f t="shared" si="0"/>
        <v>1Q26</v>
      </c>
      <c r="AA3" s="8" t="str">
        <f t="shared" si="0"/>
        <v>2Q26</v>
      </c>
      <c r="AB3" s="8" t="str">
        <f t="shared" si="0"/>
        <v>3Q26</v>
      </c>
      <c r="AC3" s="8" t="str">
        <f t="shared" si="0"/>
        <v>4Q26</v>
      </c>
      <c r="AD3" s="8" t="s">
        <v>75</v>
      </c>
      <c r="AE3" s="8"/>
      <c r="AF3" s="8"/>
      <c r="AG3" s="8"/>
      <c r="AH3" s="8"/>
    </row>
    <row r="4" spans="1:34" hidden="1" outlineLevel="1" x14ac:dyDescent="0.2">
      <c r="A4" s="1" t="s">
        <v>2</v>
      </c>
      <c r="F4" s="10">
        <v>44197</v>
      </c>
      <c r="G4" s="7">
        <f t="shared" ref="G4:AC4" si="1">+F5+1</f>
        <v>44287</v>
      </c>
      <c r="H4" s="7">
        <f t="shared" si="1"/>
        <v>44378</v>
      </c>
      <c r="I4" s="7">
        <f t="shared" si="1"/>
        <v>44470</v>
      </c>
      <c r="J4" s="7">
        <f t="shared" si="1"/>
        <v>44562</v>
      </c>
      <c r="K4" s="7">
        <f t="shared" si="1"/>
        <v>44652</v>
      </c>
      <c r="L4" s="7">
        <f t="shared" si="1"/>
        <v>44743</v>
      </c>
      <c r="M4" s="7">
        <f t="shared" si="1"/>
        <v>44835</v>
      </c>
      <c r="N4" s="7">
        <f t="shared" si="1"/>
        <v>44927</v>
      </c>
      <c r="O4" s="7">
        <f t="shared" si="1"/>
        <v>45017</v>
      </c>
      <c r="P4" s="7">
        <f t="shared" si="1"/>
        <v>45108</v>
      </c>
      <c r="Q4" s="7">
        <f t="shared" si="1"/>
        <v>45200</v>
      </c>
      <c r="R4" s="7">
        <f t="shared" si="1"/>
        <v>45292</v>
      </c>
      <c r="S4" s="7">
        <f t="shared" si="1"/>
        <v>45383</v>
      </c>
      <c r="T4" s="7">
        <f t="shared" si="1"/>
        <v>45474</v>
      </c>
      <c r="U4" s="7">
        <f t="shared" si="1"/>
        <v>45566</v>
      </c>
      <c r="V4" s="7">
        <f t="shared" si="1"/>
        <v>45658</v>
      </c>
      <c r="W4" s="7">
        <f t="shared" si="1"/>
        <v>45748</v>
      </c>
      <c r="X4" s="7">
        <f t="shared" si="1"/>
        <v>45839</v>
      </c>
      <c r="Y4" s="7">
        <f t="shared" si="1"/>
        <v>45931</v>
      </c>
      <c r="Z4" s="7">
        <f t="shared" si="1"/>
        <v>46023</v>
      </c>
      <c r="AA4" s="7">
        <f t="shared" si="1"/>
        <v>46113</v>
      </c>
      <c r="AB4" s="7">
        <f t="shared" si="1"/>
        <v>46204</v>
      </c>
      <c r="AC4" s="7">
        <f t="shared" si="1"/>
        <v>46296</v>
      </c>
      <c r="AD4" s="126" t="s">
        <v>75</v>
      </c>
      <c r="AE4" s="7"/>
      <c r="AF4" s="7"/>
      <c r="AG4" s="7"/>
      <c r="AH4" s="7"/>
    </row>
    <row r="5" spans="1:34" hidden="1" outlineLevel="1" x14ac:dyDescent="0.2">
      <c r="A5" s="1" t="s">
        <v>3</v>
      </c>
      <c r="F5" s="7">
        <f t="shared" ref="F5:AC5" si="2">+EOMONTH(F4,2)</f>
        <v>44286</v>
      </c>
      <c r="G5" s="7">
        <f t="shared" si="2"/>
        <v>44377</v>
      </c>
      <c r="H5" s="7">
        <f t="shared" si="2"/>
        <v>44469</v>
      </c>
      <c r="I5" s="7">
        <f t="shared" si="2"/>
        <v>44561</v>
      </c>
      <c r="J5" s="7">
        <f t="shared" si="2"/>
        <v>44651</v>
      </c>
      <c r="K5" s="7">
        <f t="shared" si="2"/>
        <v>44742</v>
      </c>
      <c r="L5" s="7">
        <f t="shared" si="2"/>
        <v>44834</v>
      </c>
      <c r="M5" s="7">
        <f t="shared" si="2"/>
        <v>44926</v>
      </c>
      <c r="N5" s="7">
        <f t="shared" si="2"/>
        <v>45016</v>
      </c>
      <c r="O5" s="7">
        <f t="shared" si="2"/>
        <v>45107</v>
      </c>
      <c r="P5" s="7">
        <f t="shared" si="2"/>
        <v>45199</v>
      </c>
      <c r="Q5" s="7">
        <f t="shared" si="2"/>
        <v>45291</v>
      </c>
      <c r="R5" s="7">
        <f t="shared" si="2"/>
        <v>45382</v>
      </c>
      <c r="S5" s="7">
        <f t="shared" si="2"/>
        <v>45473</v>
      </c>
      <c r="T5" s="7">
        <f t="shared" si="2"/>
        <v>45565</v>
      </c>
      <c r="U5" s="7">
        <f t="shared" si="2"/>
        <v>45657</v>
      </c>
      <c r="V5" s="7">
        <f t="shared" si="2"/>
        <v>45747</v>
      </c>
      <c r="W5" s="7">
        <f t="shared" si="2"/>
        <v>45838</v>
      </c>
      <c r="X5" s="7">
        <f t="shared" si="2"/>
        <v>45930</v>
      </c>
      <c r="Y5" s="7">
        <f t="shared" si="2"/>
        <v>46022</v>
      </c>
      <c r="Z5" s="7">
        <f t="shared" si="2"/>
        <v>46112</v>
      </c>
      <c r="AA5" s="7">
        <f t="shared" si="2"/>
        <v>46203</v>
      </c>
      <c r="AB5" s="7">
        <f t="shared" si="2"/>
        <v>46295</v>
      </c>
      <c r="AC5" s="7">
        <f t="shared" si="2"/>
        <v>46387</v>
      </c>
      <c r="AD5" s="126" t="s">
        <v>75</v>
      </c>
      <c r="AE5" s="7"/>
      <c r="AF5" s="7"/>
      <c r="AG5" s="7"/>
      <c r="AH5" s="7"/>
    </row>
    <row r="6" spans="1:34" hidden="1" outlineLevel="1" x14ac:dyDescent="0.2">
      <c r="A6" s="1" t="s">
        <v>0</v>
      </c>
      <c r="F6" s="1">
        <f t="shared" ref="F6:AC6" si="3">+YEAR(F5)</f>
        <v>2021</v>
      </c>
      <c r="G6" s="1">
        <f t="shared" si="3"/>
        <v>2021</v>
      </c>
      <c r="H6" s="1">
        <f t="shared" si="3"/>
        <v>2021</v>
      </c>
      <c r="I6" s="1">
        <f t="shared" si="3"/>
        <v>2021</v>
      </c>
      <c r="J6" s="1">
        <f t="shared" si="3"/>
        <v>2022</v>
      </c>
      <c r="K6" s="1">
        <f t="shared" si="3"/>
        <v>2022</v>
      </c>
      <c r="L6" s="1">
        <f t="shared" si="3"/>
        <v>2022</v>
      </c>
      <c r="M6" s="1">
        <f t="shared" si="3"/>
        <v>2022</v>
      </c>
      <c r="N6" s="1">
        <f t="shared" si="3"/>
        <v>2023</v>
      </c>
      <c r="O6" s="1">
        <f t="shared" si="3"/>
        <v>2023</v>
      </c>
      <c r="P6" s="1">
        <f t="shared" si="3"/>
        <v>2023</v>
      </c>
      <c r="Q6" s="1">
        <f t="shared" si="3"/>
        <v>2023</v>
      </c>
      <c r="R6" s="1">
        <f t="shared" si="3"/>
        <v>2024</v>
      </c>
      <c r="S6" s="1">
        <f t="shared" si="3"/>
        <v>2024</v>
      </c>
      <c r="T6" s="1">
        <f t="shared" si="3"/>
        <v>2024</v>
      </c>
      <c r="U6" s="1">
        <f t="shared" si="3"/>
        <v>2024</v>
      </c>
      <c r="V6" s="1">
        <f t="shared" si="3"/>
        <v>2025</v>
      </c>
      <c r="W6" s="1">
        <f t="shared" si="3"/>
        <v>2025</v>
      </c>
      <c r="X6" s="1">
        <f t="shared" si="3"/>
        <v>2025</v>
      </c>
      <c r="Y6" s="1">
        <f t="shared" si="3"/>
        <v>2025</v>
      </c>
      <c r="Z6" s="1">
        <f t="shared" si="3"/>
        <v>2026</v>
      </c>
      <c r="AA6" s="1">
        <f t="shared" si="3"/>
        <v>2026</v>
      </c>
      <c r="AB6" s="1">
        <f t="shared" si="3"/>
        <v>2026</v>
      </c>
      <c r="AC6" s="1">
        <f t="shared" si="3"/>
        <v>2026</v>
      </c>
      <c r="AD6" s="8" t="s">
        <v>75</v>
      </c>
    </row>
    <row r="7" spans="1:34" s="3" customFormat="1" collapsed="1" x14ac:dyDescent="0.2">
      <c r="A7" s="17" t="s">
        <v>75</v>
      </c>
      <c r="B7" s="3" t="s">
        <v>6</v>
      </c>
      <c r="AD7" s="117" t="s">
        <v>75</v>
      </c>
    </row>
    <row r="8" spans="1:34" s="35" customFormat="1" x14ac:dyDescent="0.2">
      <c r="A8" s="1" t="s">
        <v>75</v>
      </c>
      <c r="B8" s="36" t="s">
        <v>5</v>
      </c>
      <c r="C8" s="36"/>
      <c r="D8" s="36"/>
      <c r="E8" s="36"/>
      <c r="AD8" s="90" t="s">
        <v>75</v>
      </c>
    </row>
    <row r="9" spans="1:34" s="2" customFormat="1" x14ac:dyDescent="0.2">
      <c r="B9" s="2" t="s">
        <v>204</v>
      </c>
      <c r="C9" s="45" t="s">
        <v>177</v>
      </c>
      <c r="D9" s="84">
        <f ca="1">+Ctrl!$G$27</f>
        <v>1</v>
      </c>
      <c r="F9" s="85">
        <f ca="1">+OFFSET(F9,$D9,)</f>
        <v>0.10409012510402804</v>
      </c>
      <c r="G9" s="85">
        <f t="shared" ref="G9:AC9" ca="1" si="4">+OFFSET(G9,$D9,)</f>
        <v>0.10409012510402804</v>
      </c>
      <c r="H9" s="85">
        <f t="shared" ca="1" si="4"/>
        <v>0.10409012510402804</v>
      </c>
      <c r="I9" s="85">
        <f t="shared" ca="1" si="4"/>
        <v>0.10409012510402804</v>
      </c>
      <c r="J9" s="85">
        <f t="shared" ca="1" si="4"/>
        <v>0.10164619808591691</v>
      </c>
      <c r="K9" s="85">
        <f t="shared" ca="1" si="4"/>
        <v>0.10164619808591691</v>
      </c>
      <c r="L9" s="85">
        <f t="shared" ca="1" si="4"/>
        <v>0.10164619808591691</v>
      </c>
      <c r="M9" s="85">
        <f t="shared" ca="1" si="4"/>
        <v>0.10164619808591691</v>
      </c>
      <c r="N9" s="85">
        <f t="shared" ca="1" si="4"/>
        <v>9.9421901976974425E-2</v>
      </c>
      <c r="O9" s="85">
        <f t="shared" ca="1" si="4"/>
        <v>9.9421901976974425E-2</v>
      </c>
      <c r="P9" s="85">
        <f t="shared" ca="1" si="4"/>
        <v>9.9421901976974425E-2</v>
      </c>
      <c r="Q9" s="85">
        <f t="shared" ca="1" si="4"/>
        <v>9.9421901976974425E-2</v>
      </c>
      <c r="R9" s="85">
        <f t="shared" ca="1" si="4"/>
        <v>9.7388903221580003E-2</v>
      </c>
      <c r="S9" s="85">
        <f t="shared" ca="1" si="4"/>
        <v>9.7388903221580003E-2</v>
      </c>
      <c r="T9" s="85">
        <f t="shared" ca="1" si="4"/>
        <v>9.7388903221580003E-2</v>
      </c>
      <c r="U9" s="85">
        <f t="shared" ca="1" si="4"/>
        <v>9.7388903221580003E-2</v>
      </c>
      <c r="V9" s="85">
        <f t="shared" ca="1" si="4"/>
        <v>9.5523540904806081E-2</v>
      </c>
      <c r="W9" s="85">
        <f t="shared" ca="1" si="4"/>
        <v>9.5523540904806081E-2</v>
      </c>
      <c r="X9" s="85">
        <f t="shared" ca="1" si="4"/>
        <v>9.5523540904806081E-2</v>
      </c>
      <c r="Y9" s="85">
        <f t="shared" ca="1" si="4"/>
        <v>9.5523540904806081E-2</v>
      </c>
      <c r="Z9" s="85">
        <f t="shared" ca="1" si="4"/>
        <v>8.7374778105698825E-2</v>
      </c>
      <c r="AA9" s="85">
        <f t="shared" ca="1" si="4"/>
        <v>8.7374778105698825E-2</v>
      </c>
      <c r="AB9" s="85">
        <f t="shared" ca="1" si="4"/>
        <v>8.7374778105698825E-2</v>
      </c>
      <c r="AC9" s="85">
        <f t="shared" ca="1" si="4"/>
        <v>8.7374778105698825E-2</v>
      </c>
      <c r="AD9" s="8" t="s">
        <v>75</v>
      </c>
    </row>
    <row r="10" spans="1:34" x14ac:dyDescent="0.2">
      <c r="B10" s="20" t="s">
        <v>533</v>
      </c>
      <c r="C10" s="45" t="s">
        <v>177</v>
      </c>
      <c r="F10" s="142">
        <f>+SUMIFS(Macro!$28:$28,Macro!$3:$3,Drivers!F$6)</f>
        <v>0.10409012510402804</v>
      </c>
      <c r="G10" s="142">
        <f>+SUMIFS(Macro!$28:$28,Macro!$3:$3,Drivers!G$6)</f>
        <v>0.10409012510402804</v>
      </c>
      <c r="H10" s="142">
        <f>+SUMIFS(Macro!$28:$28,Macro!$3:$3,Drivers!H$6)</f>
        <v>0.10409012510402804</v>
      </c>
      <c r="I10" s="142">
        <f>+SUMIFS(Macro!$28:$28,Macro!$3:$3,Drivers!I$6)</f>
        <v>0.10409012510402804</v>
      </c>
      <c r="J10" s="142">
        <f>+SUMIFS(Macro!$28:$28,Macro!$3:$3,Drivers!J$6)</f>
        <v>0.10164619808591691</v>
      </c>
      <c r="K10" s="142">
        <f>+SUMIFS(Macro!$28:$28,Macro!$3:$3,Drivers!K$6)</f>
        <v>0.10164619808591691</v>
      </c>
      <c r="L10" s="142">
        <f>+SUMIFS(Macro!$28:$28,Macro!$3:$3,Drivers!L$6)</f>
        <v>0.10164619808591691</v>
      </c>
      <c r="M10" s="142">
        <f>+SUMIFS(Macro!$28:$28,Macro!$3:$3,Drivers!M$6)</f>
        <v>0.10164619808591691</v>
      </c>
      <c r="N10" s="142">
        <f>+SUMIFS(Macro!$28:$28,Macro!$3:$3,Drivers!N$6)</f>
        <v>9.9421901976974425E-2</v>
      </c>
      <c r="O10" s="142">
        <f>+SUMIFS(Macro!$28:$28,Macro!$3:$3,Drivers!O$6)</f>
        <v>9.9421901976974425E-2</v>
      </c>
      <c r="P10" s="142">
        <f>+SUMIFS(Macro!$28:$28,Macro!$3:$3,Drivers!P$6)</f>
        <v>9.9421901976974425E-2</v>
      </c>
      <c r="Q10" s="142">
        <f>+SUMIFS(Macro!$28:$28,Macro!$3:$3,Drivers!Q$6)</f>
        <v>9.9421901976974425E-2</v>
      </c>
      <c r="R10" s="142">
        <f>+SUMIFS(Macro!$28:$28,Macro!$3:$3,Drivers!R$6)</f>
        <v>9.7388903221580003E-2</v>
      </c>
      <c r="S10" s="142">
        <f>+SUMIFS(Macro!$28:$28,Macro!$3:$3,Drivers!S$6)</f>
        <v>9.7388903221580003E-2</v>
      </c>
      <c r="T10" s="142">
        <f>+SUMIFS(Macro!$28:$28,Macro!$3:$3,Drivers!T$6)</f>
        <v>9.7388903221580003E-2</v>
      </c>
      <c r="U10" s="142">
        <f>+SUMIFS(Macro!$28:$28,Macro!$3:$3,Drivers!U$6)</f>
        <v>9.7388903221580003E-2</v>
      </c>
      <c r="V10" s="142">
        <f>+SUMIFS(Macro!$28:$28,Macro!$3:$3,Drivers!V$6)</f>
        <v>9.5523540904806081E-2</v>
      </c>
      <c r="W10" s="142">
        <f>+SUMIFS(Macro!$28:$28,Macro!$3:$3,Drivers!W$6)</f>
        <v>9.5523540904806081E-2</v>
      </c>
      <c r="X10" s="142">
        <f>+SUMIFS(Macro!$28:$28,Macro!$3:$3,Drivers!X$6)</f>
        <v>9.5523540904806081E-2</v>
      </c>
      <c r="Y10" s="142">
        <f>+SUMIFS(Macro!$28:$28,Macro!$3:$3,Drivers!Y$6)</f>
        <v>9.5523540904806081E-2</v>
      </c>
      <c r="Z10" s="142">
        <f>+SUMIFS(Macro!$28:$28,Macro!$3:$3,Drivers!Z$6)</f>
        <v>8.7374778105698825E-2</v>
      </c>
      <c r="AA10" s="142">
        <f>+SUMIFS(Macro!$28:$28,Macro!$3:$3,Drivers!AA$6)</f>
        <v>8.7374778105698825E-2</v>
      </c>
      <c r="AB10" s="142">
        <f>+SUMIFS(Macro!$28:$28,Macro!$3:$3,Drivers!AB$6)</f>
        <v>8.7374778105698825E-2</v>
      </c>
      <c r="AC10" s="142">
        <f>+SUMIFS(Macro!$28:$28,Macro!$3:$3,Drivers!AC$6)</f>
        <v>8.7374778105698825E-2</v>
      </c>
      <c r="AD10" s="8" t="s">
        <v>75</v>
      </c>
    </row>
    <row r="11" spans="1:34" x14ac:dyDescent="0.2">
      <c r="B11" s="19" t="s">
        <v>290</v>
      </c>
      <c r="C11" s="45" t="s">
        <v>177</v>
      </c>
      <c r="F11" s="142">
        <f>+SUMIFS(Macro!$26:$26,Macro!$3:$3,Drivers!F$6)</f>
        <v>6.416901552923604E-2</v>
      </c>
      <c r="G11" s="142">
        <f>+SUMIFS(Macro!$26:$26,Macro!$3:$3,Drivers!G$6)</f>
        <v>6.416901552923604E-2</v>
      </c>
      <c r="H11" s="142">
        <f>+SUMIFS(Macro!$26:$26,Macro!$3:$3,Drivers!H$6)</f>
        <v>6.416901552923604E-2</v>
      </c>
      <c r="I11" s="142">
        <f>+SUMIFS(Macro!$26:$26,Macro!$3:$3,Drivers!I$6)</f>
        <v>6.416901552923604E-2</v>
      </c>
      <c r="J11" s="142">
        <f>+SUMIFS(Macro!$26:$26,Macro!$3:$3,Drivers!J$6)</f>
        <v>6.5015412560570418E-2</v>
      </c>
      <c r="K11" s="142">
        <f>+SUMIFS(Macro!$26:$26,Macro!$3:$3,Drivers!K$6)</f>
        <v>6.5015412560570418E-2</v>
      </c>
      <c r="L11" s="142">
        <f>+SUMIFS(Macro!$26:$26,Macro!$3:$3,Drivers!L$6)</f>
        <v>6.5015412560570418E-2</v>
      </c>
      <c r="M11" s="142">
        <f>+SUMIFS(Macro!$26:$26,Macro!$3:$3,Drivers!M$6)</f>
        <v>6.5015412560570418E-2</v>
      </c>
      <c r="N11" s="142">
        <f>+SUMIFS(Macro!$26:$26,Macro!$3:$3,Drivers!N$6)</f>
        <v>5.2623715117805725E-2</v>
      </c>
      <c r="O11" s="142">
        <f>+SUMIFS(Macro!$26:$26,Macro!$3:$3,Drivers!O$6)</f>
        <v>5.2623715117805725E-2</v>
      </c>
      <c r="P11" s="142">
        <f>+SUMIFS(Macro!$26:$26,Macro!$3:$3,Drivers!P$6)</f>
        <v>5.2623715117805725E-2</v>
      </c>
      <c r="Q11" s="142">
        <f>+SUMIFS(Macro!$26:$26,Macro!$3:$3,Drivers!Q$6)</f>
        <v>5.2623715117805725E-2</v>
      </c>
      <c r="R11" s="142">
        <f>+SUMIFS(Macro!$26:$26,Macro!$3:$3,Drivers!R$6)</f>
        <v>3.9533584229006768E-2</v>
      </c>
      <c r="S11" s="142">
        <f>+SUMIFS(Macro!$26:$26,Macro!$3:$3,Drivers!S$6)</f>
        <v>3.9533584229006768E-2</v>
      </c>
      <c r="T11" s="142">
        <f>+SUMIFS(Macro!$26:$26,Macro!$3:$3,Drivers!T$6)</f>
        <v>3.9533584229006768E-2</v>
      </c>
      <c r="U11" s="142">
        <f>+SUMIFS(Macro!$26:$26,Macro!$3:$3,Drivers!U$6)</f>
        <v>3.9533584229006768E-2</v>
      </c>
      <c r="V11" s="142">
        <f>+SUMIFS(Macro!$26:$26,Macro!$3:$3,Drivers!V$6)</f>
        <v>4.3773848566226015E-2</v>
      </c>
      <c r="W11" s="142">
        <f>+SUMIFS(Macro!$26:$26,Macro!$3:$3,Drivers!W$6)</f>
        <v>4.3773848566226015E-2</v>
      </c>
      <c r="X11" s="142">
        <f>+SUMIFS(Macro!$26:$26,Macro!$3:$3,Drivers!X$6)</f>
        <v>4.3773848566226015E-2</v>
      </c>
      <c r="Y11" s="142">
        <f>+SUMIFS(Macro!$26:$26,Macro!$3:$3,Drivers!Y$6)</f>
        <v>4.3773848566226015E-2</v>
      </c>
      <c r="Z11" s="142">
        <f>+SUMIFS(Macro!$26:$26,Macro!$3:$3,Drivers!Z$6)</f>
        <v>4.960370648265422E-2</v>
      </c>
      <c r="AA11" s="142">
        <f>+SUMIFS(Macro!$26:$26,Macro!$3:$3,Drivers!AA$6)</f>
        <v>4.960370648265422E-2</v>
      </c>
      <c r="AB11" s="142">
        <f>+SUMIFS(Macro!$26:$26,Macro!$3:$3,Drivers!AB$6)</f>
        <v>4.960370648265422E-2</v>
      </c>
      <c r="AC11" s="142">
        <f>+SUMIFS(Macro!$26:$26,Macro!$3:$3,Drivers!AC$6)</f>
        <v>4.960370648265422E-2</v>
      </c>
      <c r="AD11" s="8" t="s">
        <v>75</v>
      </c>
    </row>
    <row r="12" spans="1:34" x14ac:dyDescent="0.2">
      <c r="AD12" s="8" t="s">
        <v>75</v>
      </c>
    </row>
    <row r="13" spans="1:34" s="2" customFormat="1" x14ac:dyDescent="0.2">
      <c r="B13" s="2" t="s">
        <v>532</v>
      </c>
      <c r="C13" s="45" t="s">
        <v>177</v>
      </c>
      <c r="D13" s="84">
        <f ca="1">+Ctrl!$G$28</f>
        <v>1</v>
      </c>
      <c r="F13" s="85">
        <f ca="1">+OFFSET(F13,$D13,)</f>
        <v>0.10409012510402804</v>
      </c>
      <c r="G13" s="85">
        <f t="shared" ref="G13:AC13" ca="1" si="5">+OFFSET(G13,$D13,)</f>
        <v>0.10409012510402804</v>
      </c>
      <c r="H13" s="85">
        <f t="shared" ca="1" si="5"/>
        <v>0.10409012510402804</v>
      </c>
      <c r="I13" s="85">
        <f t="shared" ca="1" si="5"/>
        <v>0.10409012510402804</v>
      </c>
      <c r="J13" s="85">
        <f t="shared" ca="1" si="5"/>
        <v>0.10164619808591691</v>
      </c>
      <c r="K13" s="85">
        <f t="shared" ca="1" si="5"/>
        <v>0.10164619808591691</v>
      </c>
      <c r="L13" s="85">
        <f t="shared" ca="1" si="5"/>
        <v>0.10164619808591691</v>
      </c>
      <c r="M13" s="85">
        <f t="shared" ca="1" si="5"/>
        <v>0.10164619808591691</v>
      </c>
      <c r="N13" s="85">
        <f t="shared" ca="1" si="5"/>
        <v>9.9421901976974425E-2</v>
      </c>
      <c r="O13" s="85">
        <f t="shared" ca="1" si="5"/>
        <v>9.9421901976974425E-2</v>
      </c>
      <c r="P13" s="85">
        <f t="shared" ca="1" si="5"/>
        <v>9.9421901976974425E-2</v>
      </c>
      <c r="Q13" s="85">
        <f t="shared" ca="1" si="5"/>
        <v>9.9421901976974425E-2</v>
      </c>
      <c r="R13" s="85">
        <f t="shared" ca="1" si="5"/>
        <v>9.7388903221580003E-2</v>
      </c>
      <c r="S13" s="85">
        <f t="shared" ca="1" si="5"/>
        <v>9.7388903221580003E-2</v>
      </c>
      <c r="T13" s="85">
        <f t="shared" ca="1" si="5"/>
        <v>9.7388903221580003E-2</v>
      </c>
      <c r="U13" s="85">
        <f t="shared" ca="1" si="5"/>
        <v>9.7388903221580003E-2</v>
      </c>
      <c r="V13" s="85">
        <f t="shared" ca="1" si="5"/>
        <v>9.5523540904806081E-2</v>
      </c>
      <c r="W13" s="85">
        <f t="shared" ca="1" si="5"/>
        <v>9.5523540904806081E-2</v>
      </c>
      <c r="X13" s="85">
        <f t="shared" ca="1" si="5"/>
        <v>9.5523540904806081E-2</v>
      </c>
      <c r="Y13" s="85">
        <f t="shared" ca="1" si="5"/>
        <v>9.5523540904806081E-2</v>
      </c>
      <c r="Z13" s="85">
        <f t="shared" ca="1" si="5"/>
        <v>8.7374778105698825E-2</v>
      </c>
      <c r="AA13" s="85">
        <f t="shared" ca="1" si="5"/>
        <v>8.7374778105698825E-2</v>
      </c>
      <c r="AB13" s="85">
        <f t="shared" ca="1" si="5"/>
        <v>8.7374778105698825E-2</v>
      </c>
      <c r="AC13" s="85">
        <f t="shared" ca="1" si="5"/>
        <v>8.7374778105698825E-2</v>
      </c>
      <c r="AD13" s="8" t="s">
        <v>75</v>
      </c>
    </row>
    <row r="14" spans="1:34" x14ac:dyDescent="0.2">
      <c r="B14" s="20" t="s">
        <v>531</v>
      </c>
      <c r="C14" s="45" t="s">
        <v>177</v>
      </c>
      <c r="F14" s="91">
        <f>+F10</f>
        <v>0.10409012510402804</v>
      </c>
      <c r="G14" s="91">
        <f t="shared" ref="G14:AC14" si="6">+G10</f>
        <v>0.10409012510402804</v>
      </c>
      <c r="H14" s="91">
        <f t="shared" si="6"/>
        <v>0.10409012510402804</v>
      </c>
      <c r="I14" s="91">
        <f t="shared" si="6"/>
        <v>0.10409012510402804</v>
      </c>
      <c r="J14" s="91">
        <f t="shared" si="6"/>
        <v>0.10164619808591691</v>
      </c>
      <c r="K14" s="91">
        <f t="shared" si="6"/>
        <v>0.10164619808591691</v>
      </c>
      <c r="L14" s="91">
        <f t="shared" si="6"/>
        <v>0.10164619808591691</v>
      </c>
      <c r="M14" s="91">
        <f t="shared" si="6"/>
        <v>0.10164619808591691</v>
      </c>
      <c r="N14" s="91">
        <f t="shared" si="6"/>
        <v>9.9421901976974425E-2</v>
      </c>
      <c r="O14" s="91">
        <f t="shared" si="6"/>
        <v>9.9421901976974425E-2</v>
      </c>
      <c r="P14" s="91">
        <f t="shared" si="6"/>
        <v>9.9421901976974425E-2</v>
      </c>
      <c r="Q14" s="91">
        <f t="shared" si="6"/>
        <v>9.9421901976974425E-2</v>
      </c>
      <c r="R14" s="91">
        <f t="shared" si="6"/>
        <v>9.7388903221580003E-2</v>
      </c>
      <c r="S14" s="91">
        <f t="shared" si="6"/>
        <v>9.7388903221580003E-2</v>
      </c>
      <c r="T14" s="91">
        <f t="shared" si="6"/>
        <v>9.7388903221580003E-2</v>
      </c>
      <c r="U14" s="91">
        <f t="shared" si="6"/>
        <v>9.7388903221580003E-2</v>
      </c>
      <c r="V14" s="91">
        <f t="shared" si="6"/>
        <v>9.5523540904806081E-2</v>
      </c>
      <c r="W14" s="91">
        <f t="shared" si="6"/>
        <v>9.5523540904806081E-2</v>
      </c>
      <c r="X14" s="91">
        <f t="shared" si="6"/>
        <v>9.5523540904806081E-2</v>
      </c>
      <c r="Y14" s="91">
        <f t="shared" si="6"/>
        <v>9.5523540904806081E-2</v>
      </c>
      <c r="Z14" s="91">
        <f t="shared" si="6"/>
        <v>8.7374778105698825E-2</v>
      </c>
      <c r="AA14" s="91">
        <f t="shared" si="6"/>
        <v>8.7374778105698825E-2</v>
      </c>
      <c r="AB14" s="91">
        <f t="shared" si="6"/>
        <v>8.7374778105698825E-2</v>
      </c>
      <c r="AC14" s="91">
        <f t="shared" si="6"/>
        <v>8.7374778105698825E-2</v>
      </c>
      <c r="AD14" s="8" t="s">
        <v>75</v>
      </c>
    </row>
    <row r="15" spans="1:34" x14ac:dyDescent="0.2">
      <c r="B15" s="20" t="s">
        <v>533</v>
      </c>
      <c r="C15" s="45" t="s">
        <v>177</v>
      </c>
      <c r="F15" s="142">
        <f>+SUMIFS(Macro!$47:$47,Macro!$3:$3,Drivers!F$6)</f>
        <v>0.55975774882611451</v>
      </c>
      <c r="G15" s="142">
        <f>+SUMIFS(Macro!$47:$47,Macro!$3:$3,Drivers!G$6)</f>
        <v>0.55975774882611451</v>
      </c>
      <c r="H15" s="142">
        <f>+SUMIFS(Macro!$47:$47,Macro!$3:$3,Drivers!H$6)</f>
        <v>0.55975774882611451</v>
      </c>
      <c r="I15" s="142">
        <f>+SUMIFS(Macro!$47:$47,Macro!$3:$3,Drivers!I$6)</f>
        <v>0.55975774882611451</v>
      </c>
      <c r="J15" s="142">
        <f>+SUMIFS(Macro!$47:$47,Macro!$3:$3,Drivers!J$6)</f>
        <v>0.40248194521730585</v>
      </c>
      <c r="K15" s="142">
        <f>+SUMIFS(Macro!$47:$47,Macro!$3:$3,Drivers!K$6)</f>
        <v>0.40248194521730585</v>
      </c>
      <c r="L15" s="142">
        <f>+SUMIFS(Macro!$47:$47,Macro!$3:$3,Drivers!L$6)</f>
        <v>0.40248194521730585</v>
      </c>
      <c r="M15" s="142">
        <f>+SUMIFS(Macro!$47:$47,Macro!$3:$3,Drivers!M$6)</f>
        <v>0.40248194521730585</v>
      </c>
      <c r="N15" s="142">
        <f>+SUMIFS(Macro!$47:$47,Macro!$3:$3,Drivers!N$6)</f>
        <v>0.32101667118103094</v>
      </c>
      <c r="O15" s="142">
        <f>+SUMIFS(Macro!$47:$47,Macro!$3:$3,Drivers!O$6)</f>
        <v>0.32101667118103094</v>
      </c>
      <c r="P15" s="142">
        <f>+SUMIFS(Macro!$47:$47,Macro!$3:$3,Drivers!P$6)</f>
        <v>0.32101667118103094</v>
      </c>
      <c r="Q15" s="142">
        <f>+SUMIFS(Macro!$47:$47,Macro!$3:$3,Drivers!Q$6)</f>
        <v>0.32101667118103094</v>
      </c>
      <c r="R15" s="142">
        <f>+SUMIFS(Macro!$47:$47,Macro!$3:$3,Drivers!R$6)</f>
        <v>0.27119342891169218</v>
      </c>
      <c r="S15" s="142">
        <f>+SUMIFS(Macro!$47:$47,Macro!$3:$3,Drivers!S$6)</f>
        <v>0.27119342891169218</v>
      </c>
      <c r="T15" s="142">
        <f>+SUMIFS(Macro!$47:$47,Macro!$3:$3,Drivers!T$6)</f>
        <v>0.27119342891169218</v>
      </c>
      <c r="U15" s="142">
        <f>+SUMIFS(Macro!$47:$47,Macro!$3:$3,Drivers!U$6)</f>
        <v>0.27119342891169218</v>
      </c>
      <c r="V15" s="142">
        <f>+SUMIFS(Macro!$47:$47,Macro!$3:$3,Drivers!V$6)</f>
        <v>0.2375750251238995</v>
      </c>
      <c r="W15" s="142">
        <f>+SUMIFS(Macro!$47:$47,Macro!$3:$3,Drivers!W$6)</f>
        <v>0.2375750251238995</v>
      </c>
      <c r="X15" s="142">
        <f>+SUMIFS(Macro!$47:$47,Macro!$3:$3,Drivers!X$6)</f>
        <v>0.2375750251238995</v>
      </c>
      <c r="Y15" s="142">
        <f>+SUMIFS(Macro!$47:$47,Macro!$3:$3,Drivers!Y$6)</f>
        <v>0.2375750251238995</v>
      </c>
      <c r="Z15" s="142">
        <f>+SUMIFS(Macro!$47:$47,Macro!$3:$3,Drivers!Z$6)</f>
        <v>0.21537581459140598</v>
      </c>
      <c r="AA15" s="142">
        <f>+SUMIFS(Macro!$47:$47,Macro!$3:$3,Drivers!AA$6)</f>
        <v>0.21537581459140598</v>
      </c>
      <c r="AB15" s="142">
        <f>+SUMIFS(Macro!$47:$47,Macro!$3:$3,Drivers!AB$6)</f>
        <v>0.21537581459140598</v>
      </c>
      <c r="AC15" s="142">
        <f>+SUMIFS(Macro!$47:$47,Macro!$3:$3,Drivers!AC$6)</f>
        <v>0.21537581459140598</v>
      </c>
      <c r="AD15" s="8" t="s">
        <v>75</v>
      </c>
    </row>
    <row r="16" spans="1:34" x14ac:dyDescent="0.2">
      <c r="AD16" s="8" t="s">
        <v>75</v>
      </c>
    </row>
    <row r="17" spans="1:30" s="35" customFormat="1" x14ac:dyDescent="0.2">
      <c r="A17" s="1" t="s">
        <v>75</v>
      </c>
      <c r="B17" s="36" t="s">
        <v>214</v>
      </c>
      <c r="D17" s="36"/>
      <c r="E17" s="36"/>
      <c r="AD17" s="90" t="s">
        <v>75</v>
      </c>
    </row>
    <row r="18" spans="1:30" s="2" customFormat="1" x14ac:dyDescent="0.2">
      <c r="B18" s="2" t="s">
        <v>547</v>
      </c>
      <c r="C18" s="45" t="s">
        <v>177</v>
      </c>
      <c r="D18" s="127">
        <f ca="1">+Ctrl!$G$30</f>
        <v>1</v>
      </c>
      <c r="F18" s="272">
        <f ca="1">+OFFSET(F18,$D18,)</f>
        <v>0.15</v>
      </c>
      <c r="G18" s="272">
        <f t="shared" ref="G18:AC18" ca="1" si="7">+OFFSET(G18,$D18,)</f>
        <v>0.15</v>
      </c>
      <c r="H18" s="272">
        <f t="shared" ca="1" si="7"/>
        <v>0.15</v>
      </c>
      <c r="I18" s="272">
        <f t="shared" ca="1" si="7"/>
        <v>0.15</v>
      </c>
      <c r="J18" s="272">
        <f t="shared" ca="1" si="7"/>
        <v>0.04</v>
      </c>
      <c r="K18" s="272">
        <f t="shared" ca="1" si="7"/>
        <v>0.04</v>
      </c>
      <c r="L18" s="272">
        <f t="shared" ca="1" si="7"/>
        <v>0.04</v>
      </c>
      <c r="M18" s="272">
        <f t="shared" ca="1" si="7"/>
        <v>0.04</v>
      </c>
      <c r="N18" s="272">
        <f t="shared" ca="1" si="7"/>
        <v>0.04</v>
      </c>
      <c r="O18" s="272">
        <f t="shared" ca="1" si="7"/>
        <v>0.04</v>
      </c>
      <c r="P18" s="272">
        <f t="shared" ca="1" si="7"/>
        <v>0.04</v>
      </c>
      <c r="Q18" s="272">
        <f t="shared" ca="1" si="7"/>
        <v>0.04</v>
      </c>
      <c r="R18" s="272">
        <f t="shared" ca="1" si="7"/>
        <v>0.04</v>
      </c>
      <c r="S18" s="272">
        <f t="shared" ca="1" si="7"/>
        <v>0.04</v>
      </c>
      <c r="T18" s="272">
        <f t="shared" ca="1" si="7"/>
        <v>0.04</v>
      </c>
      <c r="U18" s="272">
        <f t="shared" ca="1" si="7"/>
        <v>0.04</v>
      </c>
      <c r="V18" s="272">
        <f t="shared" ca="1" si="7"/>
        <v>0.04</v>
      </c>
      <c r="W18" s="272">
        <f t="shared" ca="1" si="7"/>
        <v>0.04</v>
      </c>
      <c r="X18" s="272">
        <f t="shared" ca="1" si="7"/>
        <v>0.04</v>
      </c>
      <c r="Y18" s="272">
        <f t="shared" ca="1" si="7"/>
        <v>0.04</v>
      </c>
      <c r="Z18" s="272">
        <f t="shared" ca="1" si="7"/>
        <v>0.04</v>
      </c>
      <c r="AA18" s="272">
        <f t="shared" ca="1" si="7"/>
        <v>0.04</v>
      </c>
      <c r="AB18" s="272">
        <f t="shared" ca="1" si="7"/>
        <v>0.04</v>
      </c>
      <c r="AC18" s="272">
        <f t="shared" ca="1" si="7"/>
        <v>0.04</v>
      </c>
      <c r="AD18" s="8" t="s">
        <v>75</v>
      </c>
    </row>
    <row r="19" spans="1:30" x14ac:dyDescent="0.2">
      <c r="B19" s="19" t="s">
        <v>650</v>
      </c>
      <c r="C19" s="45" t="s">
        <v>177</v>
      </c>
      <c r="D19" s="17"/>
      <c r="F19" s="29">
        <v>0.15</v>
      </c>
      <c r="G19" s="29">
        <v>0.15</v>
      </c>
      <c r="H19" s="29">
        <v>0.15</v>
      </c>
      <c r="I19" s="29">
        <v>0.15</v>
      </c>
      <c r="J19" s="30">
        <f t="shared" ref="J19:AC19" ca="1" si="8">+inflation</f>
        <v>0.04</v>
      </c>
      <c r="K19" s="30">
        <f t="shared" ca="1" si="8"/>
        <v>0.04</v>
      </c>
      <c r="L19" s="30">
        <f t="shared" ca="1" si="8"/>
        <v>0.04</v>
      </c>
      <c r="M19" s="30">
        <f t="shared" ca="1" si="8"/>
        <v>0.04</v>
      </c>
      <c r="N19" s="30">
        <f t="shared" ca="1" si="8"/>
        <v>0.04</v>
      </c>
      <c r="O19" s="30">
        <f t="shared" ca="1" si="8"/>
        <v>0.04</v>
      </c>
      <c r="P19" s="30">
        <f t="shared" ca="1" si="8"/>
        <v>0.04</v>
      </c>
      <c r="Q19" s="30">
        <f t="shared" ca="1" si="8"/>
        <v>0.04</v>
      </c>
      <c r="R19" s="30">
        <f t="shared" ca="1" si="8"/>
        <v>0.04</v>
      </c>
      <c r="S19" s="30">
        <f t="shared" ca="1" si="8"/>
        <v>0.04</v>
      </c>
      <c r="T19" s="30">
        <f t="shared" ca="1" si="8"/>
        <v>0.04</v>
      </c>
      <c r="U19" s="30">
        <f t="shared" ca="1" si="8"/>
        <v>0.04</v>
      </c>
      <c r="V19" s="30">
        <f t="shared" ca="1" si="8"/>
        <v>0.04</v>
      </c>
      <c r="W19" s="30">
        <f t="shared" ca="1" si="8"/>
        <v>0.04</v>
      </c>
      <c r="X19" s="30">
        <f t="shared" ca="1" si="8"/>
        <v>0.04</v>
      </c>
      <c r="Y19" s="30">
        <f t="shared" ca="1" si="8"/>
        <v>0.04</v>
      </c>
      <c r="Z19" s="30">
        <f t="shared" ca="1" si="8"/>
        <v>0.04</v>
      </c>
      <c r="AA19" s="30">
        <f t="shared" ca="1" si="8"/>
        <v>0.04</v>
      </c>
      <c r="AB19" s="30">
        <f t="shared" ca="1" si="8"/>
        <v>0.04</v>
      </c>
      <c r="AC19" s="30">
        <f t="shared" ca="1" si="8"/>
        <v>0.04</v>
      </c>
      <c r="AD19" s="8" t="s">
        <v>75</v>
      </c>
    </row>
    <row r="20" spans="1:30" x14ac:dyDescent="0.2">
      <c r="B20" s="19"/>
      <c r="C20" s="45"/>
      <c r="D20" s="17"/>
      <c r="AD20" s="8" t="s">
        <v>75</v>
      </c>
    </row>
    <row r="21" spans="1:30" s="2" customFormat="1" x14ac:dyDescent="0.2">
      <c r="B21" s="2" t="s">
        <v>548</v>
      </c>
      <c r="C21" s="45" t="s">
        <v>177</v>
      </c>
      <c r="D21" s="127">
        <f ca="1">+Ctrl!$G$31</f>
        <v>1</v>
      </c>
      <c r="F21" s="272">
        <f ca="1">+OFFSET(F21,$D21,)</f>
        <v>0.15</v>
      </c>
      <c r="G21" s="272">
        <f t="shared" ref="G21:AC21" ca="1" si="9">+OFFSET(G21,$D21,)</f>
        <v>0.15</v>
      </c>
      <c r="H21" s="272">
        <f t="shared" ca="1" si="9"/>
        <v>0.15</v>
      </c>
      <c r="I21" s="272">
        <f t="shared" ca="1" si="9"/>
        <v>0.15</v>
      </c>
      <c r="J21" s="272">
        <f t="shared" ca="1" si="9"/>
        <v>0.04</v>
      </c>
      <c r="K21" s="272">
        <f t="shared" ca="1" si="9"/>
        <v>0.04</v>
      </c>
      <c r="L21" s="272">
        <f t="shared" ca="1" si="9"/>
        <v>0.04</v>
      </c>
      <c r="M21" s="272">
        <f t="shared" ca="1" si="9"/>
        <v>0.04</v>
      </c>
      <c r="N21" s="272">
        <f t="shared" ca="1" si="9"/>
        <v>0.04</v>
      </c>
      <c r="O21" s="272">
        <f t="shared" ca="1" si="9"/>
        <v>0.04</v>
      </c>
      <c r="P21" s="272">
        <f t="shared" ca="1" si="9"/>
        <v>0.04</v>
      </c>
      <c r="Q21" s="272">
        <f t="shared" ca="1" si="9"/>
        <v>0.04</v>
      </c>
      <c r="R21" s="272">
        <f t="shared" ca="1" si="9"/>
        <v>0.04</v>
      </c>
      <c r="S21" s="272">
        <f t="shared" ca="1" si="9"/>
        <v>0.04</v>
      </c>
      <c r="T21" s="272">
        <f t="shared" ca="1" si="9"/>
        <v>0.04</v>
      </c>
      <c r="U21" s="272">
        <f t="shared" ca="1" si="9"/>
        <v>0.04</v>
      </c>
      <c r="V21" s="272">
        <f t="shared" ca="1" si="9"/>
        <v>0.04</v>
      </c>
      <c r="W21" s="272">
        <f t="shared" ca="1" si="9"/>
        <v>0.04</v>
      </c>
      <c r="X21" s="272">
        <f t="shared" ca="1" si="9"/>
        <v>0.04</v>
      </c>
      <c r="Y21" s="272">
        <f t="shared" ca="1" si="9"/>
        <v>0.04</v>
      </c>
      <c r="Z21" s="272">
        <f t="shared" ca="1" si="9"/>
        <v>0.04</v>
      </c>
      <c r="AA21" s="272">
        <f t="shared" ca="1" si="9"/>
        <v>0.04</v>
      </c>
      <c r="AB21" s="272">
        <f t="shared" ca="1" si="9"/>
        <v>0.04</v>
      </c>
      <c r="AC21" s="272">
        <f t="shared" ca="1" si="9"/>
        <v>0.04</v>
      </c>
      <c r="AD21" s="8" t="s">
        <v>75</v>
      </c>
    </row>
    <row r="22" spans="1:30" x14ac:dyDescent="0.2">
      <c r="B22" s="19" t="s">
        <v>650</v>
      </c>
      <c r="C22" s="45" t="s">
        <v>177</v>
      </c>
      <c r="F22" s="29">
        <v>0.15</v>
      </c>
      <c r="G22" s="29">
        <v>0.15</v>
      </c>
      <c r="H22" s="29">
        <v>0.15</v>
      </c>
      <c r="I22" s="29">
        <v>0.15</v>
      </c>
      <c r="J22" s="30">
        <f t="shared" ref="J22:AC22" ca="1" si="10">+inflation</f>
        <v>0.04</v>
      </c>
      <c r="K22" s="30">
        <f t="shared" ca="1" si="10"/>
        <v>0.04</v>
      </c>
      <c r="L22" s="30">
        <f t="shared" ca="1" si="10"/>
        <v>0.04</v>
      </c>
      <c r="M22" s="30">
        <f t="shared" ca="1" si="10"/>
        <v>0.04</v>
      </c>
      <c r="N22" s="30">
        <f t="shared" ca="1" si="10"/>
        <v>0.04</v>
      </c>
      <c r="O22" s="30">
        <f t="shared" ca="1" si="10"/>
        <v>0.04</v>
      </c>
      <c r="P22" s="30">
        <f t="shared" ca="1" si="10"/>
        <v>0.04</v>
      </c>
      <c r="Q22" s="30">
        <f t="shared" ca="1" si="10"/>
        <v>0.04</v>
      </c>
      <c r="R22" s="30">
        <f t="shared" ca="1" si="10"/>
        <v>0.04</v>
      </c>
      <c r="S22" s="30">
        <f t="shared" ca="1" si="10"/>
        <v>0.04</v>
      </c>
      <c r="T22" s="30">
        <f t="shared" ca="1" si="10"/>
        <v>0.04</v>
      </c>
      <c r="U22" s="30">
        <f t="shared" ca="1" si="10"/>
        <v>0.04</v>
      </c>
      <c r="V22" s="30">
        <f t="shared" ca="1" si="10"/>
        <v>0.04</v>
      </c>
      <c r="W22" s="30">
        <f t="shared" ca="1" si="10"/>
        <v>0.04</v>
      </c>
      <c r="X22" s="30">
        <f t="shared" ca="1" si="10"/>
        <v>0.04</v>
      </c>
      <c r="Y22" s="30">
        <f t="shared" ca="1" si="10"/>
        <v>0.04</v>
      </c>
      <c r="Z22" s="30">
        <f t="shared" ca="1" si="10"/>
        <v>0.04</v>
      </c>
      <c r="AA22" s="30">
        <f t="shared" ca="1" si="10"/>
        <v>0.04</v>
      </c>
      <c r="AB22" s="30">
        <f t="shared" ca="1" si="10"/>
        <v>0.04</v>
      </c>
      <c r="AC22" s="30">
        <f t="shared" ca="1" si="10"/>
        <v>0.04</v>
      </c>
      <c r="AD22" s="8" t="s">
        <v>75</v>
      </c>
    </row>
    <row r="23" spans="1:30" x14ac:dyDescent="0.2">
      <c r="B23" s="19"/>
      <c r="C23" s="45"/>
      <c r="AD23" s="8" t="s">
        <v>75</v>
      </c>
    </row>
    <row r="24" spans="1:30" s="2" customFormat="1" x14ac:dyDescent="0.2">
      <c r="B24" s="2" t="s">
        <v>576</v>
      </c>
      <c r="C24" s="45" t="s">
        <v>177</v>
      </c>
      <c r="D24" s="127">
        <f ca="1">+Ctrl!$G$34</f>
        <v>1</v>
      </c>
      <c r="F24" s="272">
        <f ca="1">+OFFSET(F24,$D24,)</f>
        <v>0.04</v>
      </c>
      <c r="G24" s="272">
        <f t="shared" ref="G24:AC24" ca="1" si="11">+OFFSET(G24,$D24,)</f>
        <v>0.04</v>
      </c>
      <c r="H24" s="272">
        <f t="shared" ca="1" si="11"/>
        <v>0.04</v>
      </c>
      <c r="I24" s="272">
        <f t="shared" ca="1" si="11"/>
        <v>0.04</v>
      </c>
      <c r="J24" s="272">
        <f t="shared" ca="1" si="11"/>
        <v>0.04</v>
      </c>
      <c r="K24" s="272">
        <f t="shared" ca="1" si="11"/>
        <v>0.04</v>
      </c>
      <c r="L24" s="272">
        <f t="shared" ca="1" si="11"/>
        <v>0.04</v>
      </c>
      <c r="M24" s="272">
        <f t="shared" ca="1" si="11"/>
        <v>0.04</v>
      </c>
      <c r="N24" s="272">
        <f t="shared" ca="1" si="11"/>
        <v>0.04</v>
      </c>
      <c r="O24" s="272">
        <f t="shared" ca="1" si="11"/>
        <v>0.04</v>
      </c>
      <c r="P24" s="272">
        <f t="shared" ca="1" si="11"/>
        <v>0.04</v>
      </c>
      <c r="Q24" s="272">
        <f t="shared" ca="1" si="11"/>
        <v>0.04</v>
      </c>
      <c r="R24" s="272">
        <f t="shared" ca="1" si="11"/>
        <v>0.04</v>
      </c>
      <c r="S24" s="272">
        <f t="shared" ca="1" si="11"/>
        <v>0.04</v>
      </c>
      <c r="T24" s="272">
        <f t="shared" ca="1" si="11"/>
        <v>0.04</v>
      </c>
      <c r="U24" s="272">
        <f t="shared" ca="1" si="11"/>
        <v>0.04</v>
      </c>
      <c r="V24" s="272">
        <f t="shared" ca="1" si="11"/>
        <v>0.04</v>
      </c>
      <c r="W24" s="272">
        <f t="shared" ca="1" si="11"/>
        <v>0.04</v>
      </c>
      <c r="X24" s="272">
        <f t="shared" ca="1" si="11"/>
        <v>0.04</v>
      </c>
      <c r="Y24" s="272">
        <f t="shared" ca="1" si="11"/>
        <v>0.04</v>
      </c>
      <c r="Z24" s="272">
        <f t="shared" ca="1" si="11"/>
        <v>0.04</v>
      </c>
      <c r="AA24" s="272">
        <f t="shared" ca="1" si="11"/>
        <v>0.04</v>
      </c>
      <c r="AB24" s="272">
        <f t="shared" ca="1" si="11"/>
        <v>0.04</v>
      </c>
      <c r="AC24" s="272">
        <f t="shared" ca="1" si="11"/>
        <v>0.04</v>
      </c>
      <c r="AD24" s="8" t="s">
        <v>75</v>
      </c>
    </row>
    <row r="25" spans="1:30" x14ac:dyDescent="0.2">
      <c r="B25" s="19" t="s">
        <v>612</v>
      </c>
      <c r="C25" s="45" t="s">
        <v>177</v>
      </c>
      <c r="F25" s="30">
        <f t="shared" ref="F25:I25" ca="1" si="12">+inflation</f>
        <v>0.04</v>
      </c>
      <c r="G25" s="30">
        <f t="shared" ca="1" si="12"/>
        <v>0.04</v>
      </c>
      <c r="H25" s="30">
        <f t="shared" ca="1" si="12"/>
        <v>0.04</v>
      </c>
      <c r="I25" s="30">
        <f t="shared" ca="1" si="12"/>
        <v>0.04</v>
      </c>
      <c r="J25" s="30">
        <f t="shared" ref="J25:AC25" ca="1" si="13">+inflation</f>
        <v>0.04</v>
      </c>
      <c r="K25" s="30">
        <f t="shared" ca="1" si="13"/>
        <v>0.04</v>
      </c>
      <c r="L25" s="30">
        <f t="shared" ca="1" si="13"/>
        <v>0.04</v>
      </c>
      <c r="M25" s="30">
        <f t="shared" ca="1" si="13"/>
        <v>0.04</v>
      </c>
      <c r="N25" s="30">
        <f t="shared" ca="1" si="13"/>
        <v>0.04</v>
      </c>
      <c r="O25" s="30">
        <f t="shared" ca="1" si="13"/>
        <v>0.04</v>
      </c>
      <c r="P25" s="30">
        <f t="shared" ca="1" si="13"/>
        <v>0.04</v>
      </c>
      <c r="Q25" s="30">
        <f t="shared" ca="1" si="13"/>
        <v>0.04</v>
      </c>
      <c r="R25" s="30">
        <f t="shared" ca="1" si="13"/>
        <v>0.04</v>
      </c>
      <c r="S25" s="30">
        <f t="shared" ca="1" si="13"/>
        <v>0.04</v>
      </c>
      <c r="T25" s="30">
        <f t="shared" ca="1" si="13"/>
        <v>0.04</v>
      </c>
      <c r="U25" s="30">
        <f t="shared" ca="1" si="13"/>
        <v>0.04</v>
      </c>
      <c r="V25" s="30">
        <f t="shared" ca="1" si="13"/>
        <v>0.04</v>
      </c>
      <c r="W25" s="30">
        <f t="shared" ca="1" si="13"/>
        <v>0.04</v>
      </c>
      <c r="X25" s="30">
        <f t="shared" ca="1" si="13"/>
        <v>0.04</v>
      </c>
      <c r="Y25" s="30">
        <f t="shared" ca="1" si="13"/>
        <v>0.04</v>
      </c>
      <c r="Z25" s="30">
        <f t="shared" ca="1" si="13"/>
        <v>0.04</v>
      </c>
      <c r="AA25" s="30">
        <f t="shared" ca="1" si="13"/>
        <v>0.04</v>
      </c>
      <c r="AB25" s="30">
        <f t="shared" ca="1" si="13"/>
        <v>0.04</v>
      </c>
      <c r="AC25" s="30">
        <f t="shared" ca="1" si="13"/>
        <v>0.04</v>
      </c>
      <c r="AD25" s="8" t="s">
        <v>75</v>
      </c>
    </row>
    <row r="26" spans="1:30" x14ac:dyDescent="0.2">
      <c r="B26" s="19"/>
      <c r="C26" s="45"/>
      <c r="AD26" s="8" t="s">
        <v>75</v>
      </c>
    </row>
    <row r="27" spans="1:30" s="3" customFormat="1" x14ac:dyDescent="0.2">
      <c r="A27" s="17" t="s">
        <v>75</v>
      </c>
      <c r="B27" s="3" t="s">
        <v>7</v>
      </c>
      <c r="C27" s="332"/>
      <c r="AD27" s="117" t="s">
        <v>75</v>
      </c>
    </row>
    <row r="28" spans="1:30" s="35" customFormat="1" x14ac:dyDescent="0.2">
      <c r="A28" s="1" t="s">
        <v>75</v>
      </c>
      <c r="B28" s="36" t="s">
        <v>5</v>
      </c>
      <c r="D28" s="36"/>
      <c r="E28" s="36"/>
      <c r="AD28" s="90" t="s">
        <v>75</v>
      </c>
    </row>
    <row r="29" spans="1:30" s="2" customFormat="1" x14ac:dyDescent="0.2">
      <c r="B29" s="2" t="s">
        <v>255</v>
      </c>
      <c r="C29" s="45" t="s">
        <v>177</v>
      </c>
      <c r="D29" s="127">
        <f ca="1">+Ctrl!$G$37</f>
        <v>1</v>
      </c>
      <c r="F29" s="85">
        <f ca="1">+OFFSET(F29,$D29,)</f>
        <v>0.15</v>
      </c>
      <c r="G29" s="85">
        <f t="shared" ref="G29:AC29" ca="1" si="14">+OFFSET(G29,$D29,)</f>
        <v>0.15</v>
      </c>
      <c r="H29" s="85">
        <f t="shared" ca="1" si="14"/>
        <v>0.15</v>
      </c>
      <c r="I29" s="85">
        <f t="shared" ca="1" si="14"/>
        <v>0.15</v>
      </c>
      <c r="J29" s="85">
        <f t="shared" ca="1" si="14"/>
        <v>0.01</v>
      </c>
      <c r="K29" s="85">
        <f t="shared" ca="1" si="14"/>
        <v>0.01</v>
      </c>
      <c r="L29" s="85">
        <f t="shared" ca="1" si="14"/>
        <v>0.01</v>
      </c>
      <c r="M29" s="85">
        <f t="shared" ca="1" si="14"/>
        <v>0.01</v>
      </c>
      <c r="N29" s="85">
        <f t="shared" ca="1" si="14"/>
        <v>0.01</v>
      </c>
      <c r="O29" s="85">
        <f t="shared" ca="1" si="14"/>
        <v>0.01</v>
      </c>
      <c r="P29" s="85">
        <f t="shared" ca="1" si="14"/>
        <v>0.01</v>
      </c>
      <c r="Q29" s="85">
        <f t="shared" ca="1" si="14"/>
        <v>0.01</v>
      </c>
      <c r="R29" s="85">
        <f t="shared" ca="1" si="14"/>
        <v>0.01</v>
      </c>
      <c r="S29" s="85">
        <f t="shared" ca="1" si="14"/>
        <v>0.01</v>
      </c>
      <c r="T29" s="85">
        <f t="shared" ca="1" si="14"/>
        <v>0.01</v>
      </c>
      <c r="U29" s="85">
        <f t="shared" ca="1" si="14"/>
        <v>0.01</v>
      </c>
      <c r="V29" s="85">
        <f t="shared" ca="1" si="14"/>
        <v>0.01</v>
      </c>
      <c r="W29" s="85">
        <f t="shared" ca="1" si="14"/>
        <v>0.01</v>
      </c>
      <c r="X29" s="85">
        <f t="shared" ca="1" si="14"/>
        <v>0.01</v>
      </c>
      <c r="Y29" s="85">
        <f t="shared" ca="1" si="14"/>
        <v>0.01</v>
      </c>
      <c r="Z29" s="85">
        <f t="shared" ca="1" si="14"/>
        <v>0.01</v>
      </c>
      <c r="AA29" s="85">
        <f t="shared" ca="1" si="14"/>
        <v>0.01</v>
      </c>
      <c r="AB29" s="85">
        <f t="shared" ca="1" si="14"/>
        <v>0.01</v>
      </c>
      <c r="AC29" s="85">
        <f t="shared" ca="1" si="14"/>
        <v>0.01</v>
      </c>
      <c r="AD29" s="8" t="s">
        <v>75</v>
      </c>
    </row>
    <row r="30" spans="1:30" x14ac:dyDescent="0.2">
      <c r="B30" s="19" t="s">
        <v>210</v>
      </c>
      <c r="C30" s="45" t="s">
        <v>177</v>
      </c>
      <c r="D30" s="17"/>
      <c r="F30" s="82">
        <v>0.15</v>
      </c>
      <c r="G30" s="82">
        <v>0.15</v>
      </c>
      <c r="H30" s="82">
        <v>0.15</v>
      </c>
      <c r="I30" s="82">
        <v>0.15</v>
      </c>
      <c r="J30" s="82">
        <v>0.01</v>
      </c>
      <c r="K30" s="82">
        <v>0.01</v>
      </c>
      <c r="L30" s="82">
        <v>0.01</v>
      </c>
      <c r="M30" s="82">
        <v>0.01</v>
      </c>
      <c r="N30" s="82">
        <v>0.01</v>
      </c>
      <c r="O30" s="82">
        <v>0.01</v>
      </c>
      <c r="P30" s="82">
        <v>0.01</v>
      </c>
      <c r="Q30" s="82">
        <v>0.01</v>
      </c>
      <c r="R30" s="82">
        <v>0.01</v>
      </c>
      <c r="S30" s="82">
        <v>0.01</v>
      </c>
      <c r="T30" s="82">
        <v>0.01</v>
      </c>
      <c r="U30" s="82">
        <v>0.01</v>
      </c>
      <c r="V30" s="82">
        <v>0.01</v>
      </c>
      <c r="W30" s="82">
        <v>0.01</v>
      </c>
      <c r="X30" s="82">
        <v>0.01</v>
      </c>
      <c r="Y30" s="82">
        <v>0.01</v>
      </c>
      <c r="Z30" s="82">
        <v>0.01</v>
      </c>
      <c r="AA30" s="82">
        <v>0.01</v>
      </c>
      <c r="AB30" s="82">
        <v>0.01</v>
      </c>
      <c r="AC30" s="82">
        <v>0.01</v>
      </c>
      <c r="AD30" s="8" t="s">
        <v>75</v>
      </c>
    </row>
    <row r="31" spans="1:30" x14ac:dyDescent="0.2">
      <c r="D31" s="17"/>
      <c r="AD31" s="8" t="s">
        <v>75</v>
      </c>
    </row>
    <row r="32" spans="1:30" s="2" customFormat="1" x14ac:dyDescent="0.2">
      <c r="B32" s="2" t="s">
        <v>256</v>
      </c>
      <c r="C32" s="45" t="s">
        <v>177</v>
      </c>
      <c r="D32" s="127">
        <f ca="1">+Ctrl!$G$38</f>
        <v>1</v>
      </c>
      <c r="F32" s="85">
        <f ca="1">+OFFSET(F32,$D32,)</f>
        <v>0.05</v>
      </c>
      <c r="G32" s="85">
        <f t="shared" ref="G32:AC32" ca="1" si="15">+OFFSET(G32,$D32,)</f>
        <v>0.05</v>
      </c>
      <c r="H32" s="85">
        <f t="shared" ca="1" si="15"/>
        <v>0.05</v>
      </c>
      <c r="I32" s="85">
        <f t="shared" ca="1" si="15"/>
        <v>0.05</v>
      </c>
      <c r="J32" s="85">
        <f t="shared" ca="1" si="15"/>
        <v>0.05</v>
      </c>
      <c r="K32" s="85">
        <f t="shared" ca="1" si="15"/>
        <v>0.05</v>
      </c>
      <c r="L32" s="85">
        <f t="shared" ca="1" si="15"/>
        <v>0.05</v>
      </c>
      <c r="M32" s="85">
        <f t="shared" ca="1" si="15"/>
        <v>0.05</v>
      </c>
      <c r="N32" s="85">
        <f t="shared" ca="1" si="15"/>
        <v>2.5000000000000001E-2</v>
      </c>
      <c r="O32" s="85">
        <f t="shared" ca="1" si="15"/>
        <v>2.5000000000000001E-2</v>
      </c>
      <c r="P32" s="85">
        <f t="shared" ca="1" si="15"/>
        <v>2.5000000000000001E-2</v>
      </c>
      <c r="Q32" s="85">
        <f t="shared" ca="1" si="15"/>
        <v>2.5000000000000001E-2</v>
      </c>
      <c r="R32" s="85">
        <f t="shared" ca="1" si="15"/>
        <v>2.5000000000000001E-2</v>
      </c>
      <c r="S32" s="85">
        <f t="shared" ca="1" si="15"/>
        <v>2.5000000000000001E-2</v>
      </c>
      <c r="T32" s="85">
        <f t="shared" ca="1" si="15"/>
        <v>2.5000000000000001E-2</v>
      </c>
      <c r="U32" s="85">
        <f t="shared" ca="1" si="15"/>
        <v>2.5000000000000001E-2</v>
      </c>
      <c r="V32" s="85">
        <f t="shared" ca="1" si="15"/>
        <v>2.5000000000000001E-2</v>
      </c>
      <c r="W32" s="85">
        <f t="shared" ca="1" si="15"/>
        <v>2.5000000000000001E-2</v>
      </c>
      <c r="X32" s="85">
        <f t="shared" ca="1" si="15"/>
        <v>2.5000000000000001E-2</v>
      </c>
      <c r="Y32" s="85">
        <f t="shared" ca="1" si="15"/>
        <v>2.5000000000000001E-2</v>
      </c>
      <c r="Z32" s="85">
        <f t="shared" ca="1" si="15"/>
        <v>2.5000000000000001E-2</v>
      </c>
      <c r="AA32" s="85">
        <f t="shared" ca="1" si="15"/>
        <v>2.5000000000000001E-2</v>
      </c>
      <c r="AB32" s="85">
        <f t="shared" ca="1" si="15"/>
        <v>2.5000000000000001E-2</v>
      </c>
      <c r="AC32" s="85">
        <f t="shared" ca="1" si="15"/>
        <v>2.5000000000000001E-2</v>
      </c>
      <c r="AD32" s="8" t="s">
        <v>75</v>
      </c>
    </row>
    <row r="33" spans="1:30" x14ac:dyDescent="0.2">
      <c r="B33" s="19" t="s">
        <v>210</v>
      </c>
      <c r="C33" s="45" t="s">
        <v>177</v>
      </c>
      <c r="D33" s="17"/>
      <c r="F33" s="82">
        <v>0.05</v>
      </c>
      <c r="G33" s="82">
        <v>0.05</v>
      </c>
      <c r="H33" s="82">
        <v>0.05</v>
      </c>
      <c r="I33" s="82">
        <v>0.05</v>
      </c>
      <c r="J33" s="82">
        <v>0.05</v>
      </c>
      <c r="K33" s="82">
        <v>0.05</v>
      </c>
      <c r="L33" s="82">
        <v>0.05</v>
      </c>
      <c r="M33" s="82">
        <v>0.05</v>
      </c>
      <c r="N33" s="82">
        <v>2.5000000000000001E-2</v>
      </c>
      <c r="O33" s="82">
        <v>2.5000000000000001E-2</v>
      </c>
      <c r="P33" s="82">
        <v>2.5000000000000001E-2</v>
      </c>
      <c r="Q33" s="82">
        <v>2.5000000000000001E-2</v>
      </c>
      <c r="R33" s="82">
        <v>2.5000000000000001E-2</v>
      </c>
      <c r="S33" s="82">
        <v>2.5000000000000001E-2</v>
      </c>
      <c r="T33" s="82">
        <v>2.5000000000000001E-2</v>
      </c>
      <c r="U33" s="82">
        <v>2.5000000000000001E-2</v>
      </c>
      <c r="V33" s="82">
        <v>2.5000000000000001E-2</v>
      </c>
      <c r="W33" s="82">
        <v>2.5000000000000001E-2</v>
      </c>
      <c r="X33" s="82">
        <v>2.5000000000000001E-2</v>
      </c>
      <c r="Y33" s="82">
        <v>2.5000000000000001E-2</v>
      </c>
      <c r="Z33" s="82">
        <v>2.5000000000000001E-2</v>
      </c>
      <c r="AA33" s="82">
        <v>2.5000000000000001E-2</v>
      </c>
      <c r="AB33" s="82">
        <v>2.5000000000000001E-2</v>
      </c>
      <c r="AC33" s="82">
        <v>2.5000000000000001E-2</v>
      </c>
      <c r="AD33" s="8" t="s">
        <v>75</v>
      </c>
    </row>
    <row r="34" spans="1:30" x14ac:dyDescent="0.2">
      <c r="B34" s="19"/>
      <c r="C34" s="45"/>
      <c r="AD34" s="8" t="s">
        <v>75</v>
      </c>
    </row>
    <row r="35" spans="1:30" s="35" customFormat="1" x14ac:dyDescent="0.2">
      <c r="A35" s="1" t="s">
        <v>75</v>
      </c>
      <c r="B35" s="36" t="s">
        <v>214</v>
      </c>
      <c r="D35" s="36"/>
      <c r="E35" s="36"/>
      <c r="AD35" s="90" t="s">
        <v>75</v>
      </c>
    </row>
    <row r="36" spans="1:30" s="2" customFormat="1" x14ac:dyDescent="0.2">
      <c r="B36" s="2" t="s">
        <v>576</v>
      </c>
      <c r="C36" s="45" t="s">
        <v>177</v>
      </c>
      <c r="D36" s="127">
        <f ca="1">+Ctrl!$G$41</f>
        <v>1</v>
      </c>
      <c r="F36" s="272">
        <f ca="1">+OFFSET(F36,$D36,)</f>
        <v>0</v>
      </c>
      <c r="G36" s="272">
        <f t="shared" ref="G36:AC36" ca="1" si="16">+OFFSET(G36,$D36,)</f>
        <v>0</v>
      </c>
      <c r="H36" s="272">
        <f t="shared" ca="1" si="16"/>
        <v>0</v>
      </c>
      <c r="I36" s="272">
        <f t="shared" ca="1" si="16"/>
        <v>0</v>
      </c>
      <c r="J36" s="272">
        <f t="shared" ca="1" si="16"/>
        <v>-0.1865302416428235</v>
      </c>
      <c r="K36" s="272">
        <f t="shared" ca="1" si="16"/>
        <v>-0.43941095198339974</v>
      </c>
      <c r="L36" s="272">
        <f t="shared" ca="1" si="16"/>
        <v>-0.21911932687285685</v>
      </c>
      <c r="M36" s="272">
        <f t="shared" ca="1" si="16"/>
        <v>-0.26277407455450308</v>
      </c>
      <c r="N36" s="272">
        <f t="shared" ca="1" si="16"/>
        <v>-0.1865302416428235</v>
      </c>
      <c r="O36" s="272">
        <f t="shared" ca="1" si="16"/>
        <v>-0.43941095198339974</v>
      </c>
      <c r="P36" s="272">
        <f t="shared" ca="1" si="16"/>
        <v>-0.21911932687285685</v>
      </c>
      <c r="Q36" s="272">
        <f t="shared" ca="1" si="16"/>
        <v>-0.26277407455450308</v>
      </c>
      <c r="R36" s="272">
        <f t="shared" ca="1" si="16"/>
        <v>-0.1865302416428235</v>
      </c>
      <c r="S36" s="272">
        <f t="shared" ca="1" si="16"/>
        <v>-0.43941095198339974</v>
      </c>
      <c r="T36" s="272">
        <f t="shared" ca="1" si="16"/>
        <v>-0.21911932687285685</v>
      </c>
      <c r="U36" s="272">
        <f t="shared" ca="1" si="16"/>
        <v>-0.26277407455450308</v>
      </c>
      <c r="V36" s="272">
        <f t="shared" ca="1" si="16"/>
        <v>0.04</v>
      </c>
      <c r="W36" s="272">
        <f t="shared" ca="1" si="16"/>
        <v>0.04</v>
      </c>
      <c r="X36" s="272">
        <f t="shared" ca="1" si="16"/>
        <v>0.04</v>
      </c>
      <c r="Y36" s="272">
        <f t="shared" ca="1" si="16"/>
        <v>0.04</v>
      </c>
      <c r="Z36" s="272">
        <f t="shared" ca="1" si="16"/>
        <v>0.04</v>
      </c>
      <c r="AA36" s="272">
        <f t="shared" ca="1" si="16"/>
        <v>0.04</v>
      </c>
      <c r="AB36" s="272">
        <f t="shared" ca="1" si="16"/>
        <v>0.04</v>
      </c>
      <c r="AC36" s="272">
        <f t="shared" ca="1" si="16"/>
        <v>0.04</v>
      </c>
      <c r="AD36" s="8" t="s">
        <v>75</v>
      </c>
    </row>
    <row r="37" spans="1:30" x14ac:dyDescent="0.2">
      <c r="B37" s="19" t="s">
        <v>583</v>
      </c>
      <c r="C37" s="45" t="s">
        <v>177</v>
      </c>
      <c r="F37" s="29">
        <v>0</v>
      </c>
      <c r="G37" s="29">
        <v>0</v>
      </c>
      <c r="H37" s="29">
        <v>0</v>
      </c>
      <c r="I37" s="29">
        <v>0</v>
      </c>
      <c r="J37" s="29">
        <v>-0.1865302416428235</v>
      </c>
      <c r="K37" s="29">
        <v>-0.43941095198339974</v>
      </c>
      <c r="L37" s="29">
        <v>-0.21911932687285685</v>
      </c>
      <c r="M37" s="29">
        <v>-0.26277407455450308</v>
      </c>
      <c r="N37" s="29">
        <v>-0.1865302416428235</v>
      </c>
      <c r="O37" s="29">
        <v>-0.43941095198339974</v>
      </c>
      <c r="P37" s="29">
        <v>-0.21911932687285685</v>
      </c>
      <c r="Q37" s="29">
        <v>-0.26277407455450308</v>
      </c>
      <c r="R37" s="29">
        <v>-0.1865302416428235</v>
      </c>
      <c r="S37" s="29">
        <v>-0.43941095198339974</v>
      </c>
      <c r="T37" s="29">
        <v>-0.21911932687285685</v>
      </c>
      <c r="U37" s="29">
        <v>-0.26277407455450308</v>
      </c>
      <c r="V37" s="30">
        <f t="shared" ref="N37:AC38" ca="1" si="17">+inflation</f>
        <v>0.04</v>
      </c>
      <c r="W37" s="30">
        <f t="shared" ca="1" si="17"/>
        <v>0.04</v>
      </c>
      <c r="X37" s="30">
        <f t="shared" ca="1" si="17"/>
        <v>0.04</v>
      </c>
      <c r="Y37" s="30">
        <f t="shared" ca="1" si="17"/>
        <v>0.04</v>
      </c>
      <c r="Z37" s="30">
        <f t="shared" ca="1" si="17"/>
        <v>0.04</v>
      </c>
      <c r="AA37" s="30">
        <f t="shared" ca="1" si="17"/>
        <v>0.04</v>
      </c>
      <c r="AB37" s="30">
        <f t="shared" ca="1" si="17"/>
        <v>0.04</v>
      </c>
      <c r="AC37" s="30">
        <f t="shared" ca="1" si="17"/>
        <v>0.04</v>
      </c>
      <c r="AD37" s="8" t="s">
        <v>75</v>
      </c>
    </row>
    <row r="38" spans="1:30" x14ac:dyDescent="0.2">
      <c r="B38" s="19" t="s">
        <v>584</v>
      </c>
      <c r="C38" s="45" t="s">
        <v>177</v>
      </c>
      <c r="F38" s="29">
        <v>-0.29452962831779683</v>
      </c>
      <c r="G38" s="29">
        <v>-0.59641634045907943</v>
      </c>
      <c r="H38" s="29">
        <v>-0.3364958067335091</v>
      </c>
      <c r="I38" s="29">
        <v>-0.39135009346199379</v>
      </c>
      <c r="J38" s="29">
        <v>-0.29452962831779683</v>
      </c>
      <c r="K38" s="29">
        <v>-0.59641634045907943</v>
      </c>
      <c r="L38" s="29">
        <v>-0.3364958067335091</v>
      </c>
      <c r="M38" s="29">
        <v>-0.39135009346199379</v>
      </c>
      <c r="N38" s="30">
        <f t="shared" ca="1" si="17"/>
        <v>0.04</v>
      </c>
      <c r="O38" s="30">
        <f t="shared" ca="1" si="17"/>
        <v>0.04</v>
      </c>
      <c r="P38" s="30">
        <f t="shared" ca="1" si="17"/>
        <v>0.04</v>
      </c>
      <c r="Q38" s="30">
        <f t="shared" ca="1" si="17"/>
        <v>0.04</v>
      </c>
      <c r="R38" s="30">
        <f t="shared" ca="1" si="17"/>
        <v>0.04</v>
      </c>
      <c r="S38" s="30">
        <f t="shared" ca="1" si="17"/>
        <v>0.04</v>
      </c>
      <c r="T38" s="30">
        <f t="shared" ca="1" si="17"/>
        <v>0.04</v>
      </c>
      <c r="U38" s="30">
        <f t="shared" ca="1" si="17"/>
        <v>0.04</v>
      </c>
      <c r="V38" s="30">
        <f t="shared" ca="1" si="17"/>
        <v>0.04</v>
      </c>
      <c r="W38" s="30">
        <f t="shared" ca="1" si="17"/>
        <v>0.04</v>
      </c>
      <c r="X38" s="30">
        <f t="shared" ca="1" si="17"/>
        <v>0.04</v>
      </c>
      <c r="Y38" s="30">
        <f t="shared" ca="1" si="17"/>
        <v>0.04</v>
      </c>
      <c r="Z38" s="30">
        <f t="shared" ca="1" si="17"/>
        <v>0.04</v>
      </c>
      <c r="AA38" s="30">
        <f t="shared" ca="1" si="17"/>
        <v>0.04</v>
      </c>
      <c r="AB38" s="30">
        <f t="shared" ca="1" si="17"/>
        <v>0.04</v>
      </c>
      <c r="AC38" s="30">
        <f t="shared" ca="1" si="17"/>
        <v>0.04</v>
      </c>
      <c r="AD38" s="8" t="s">
        <v>75</v>
      </c>
    </row>
    <row r="39" spans="1:30" x14ac:dyDescent="0.2">
      <c r="B39" s="19"/>
      <c r="C39" s="45"/>
      <c r="AD39" s="8" t="s">
        <v>75</v>
      </c>
    </row>
    <row r="40" spans="1:30" s="3" customFormat="1" x14ac:dyDescent="0.2">
      <c r="A40" s="17" t="s">
        <v>75</v>
      </c>
      <c r="B40" s="3" t="s">
        <v>648</v>
      </c>
      <c r="C40" s="332"/>
      <c r="AD40" s="117" t="s">
        <v>75</v>
      </c>
    </row>
    <row r="41" spans="1:30" s="35" customFormat="1" x14ac:dyDescent="0.2">
      <c r="A41" s="1" t="s">
        <v>75</v>
      </c>
      <c r="B41" s="36" t="s">
        <v>5</v>
      </c>
      <c r="D41" s="36"/>
      <c r="E41" s="36"/>
      <c r="AD41" s="90" t="s">
        <v>75</v>
      </c>
    </row>
    <row r="42" spans="1:30" s="2" customFormat="1" x14ac:dyDescent="0.2">
      <c r="B42" s="2" t="s">
        <v>218</v>
      </c>
      <c r="C42" s="45" t="s">
        <v>177</v>
      </c>
      <c r="D42" s="84">
        <f ca="1">+Ctrl!$G$44</f>
        <v>1</v>
      </c>
      <c r="F42" s="85">
        <f ca="1">+OFFSET(F42,$D42,)</f>
        <v>0.02</v>
      </c>
      <c r="G42" s="85">
        <f t="shared" ref="G42:AC42" ca="1" si="18">+OFFSET(G42,$D42,)</f>
        <v>0.02</v>
      </c>
      <c r="H42" s="85">
        <f t="shared" ca="1" si="18"/>
        <v>0.02</v>
      </c>
      <c r="I42" s="85">
        <f t="shared" ca="1" si="18"/>
        <v>0.02</v>
      </c>
      <c r="J42" s="85">
        <f t="shared" ca="1" si="18"/>
        <v>0.02</v>
      </c>
      <c r="K42" s="85">
        <f t="shared" ca="1" si="18"/>
        <v>0.02</v>
      </c>
      <c r="L42" s="85">
        <f t="shared" ca="1" si="18"/>
        <v>0.02</v>
      </c>
      <c r="M42" s="85">
        <f t="shared" ca="1" si="18"/>
        <v>0.02</v>
      </c>
      <c r="N42" s="85">
        <f t="shared" ca="1" si="18"/>
        <v>0.02</v>
      </c>
      <c r="O42" s="85">
        <f t="shared" ca="1" si="18"/>
        <v>0.02</v>
      </c>
      <c r="P42" s="85">
        <f t="shared" ca="1" si="18"/>
        <v>0.02</v>
      </c>
      <c r="Q42" s="85">
        <f t="shared" ca="1" si="18"/>
        <v>0.02</v>
      </c>
      <c r="R42" s="85">
        <f t="shared" ca="1" si="18"/>
        <v>0.02</v>
      </c>
      <c r="S42" s="85">
        <f t="shared" ca="1" si="18"/>
        <v>0.02</v>
      </c>
      <c r="T42" s="85">
        <f t="shared" ca="1" si="18"/>
        <v>0.02</v>
      </c>
      <c r="U42" s="85">
        <f t="shared" ca="1" si="18"/>
        <v>0.02</v>
      </c>
      <c r="V42" s="85">
        <f t="shared" ca="1" si="18"/>
        <v>0.02</v>
      </c>
      <c r="W42" s="85">
        <f t="shared" ca="1" si="18"/>
        <v>0.02</v>
      </c>
      <c r="X42" s="85">
        <f t="shared" ca="1" si="18"/>
        <v>0.02</v>
      </c>
      <c r="Y42" s="85">
        <f t="shared" ca="1" si="18"/>
        <v>0.02</v>
      </c>
      <c r="Z42" s="85">
        <f t="shared" ca="1" si="18"/>
        <v>0.02</v>
      </c>
      <c r="AA42" s="85">
        <f t="shared" ca="1" si="18"/>
        <v>0.02</v>
      </c>
      <c r="AB42" s="85">
        <f t="shared" ca="1" si="18"/>
        <v>0.02</v>
      </c>
      <c r="AC42" s="85">
        <f t="shared" ca="1" si="18"/>
        <v>0.02</v>
      </c>
      <c r="AD42" s="8" t="s">
        <v>75</v>
      </c>
    </row>
    <row r="43" spans="1:30" x14ac:dyDescent="0.2">
      <c r="B43" s="19" t="s">
        <v>210</v>
      </c>
      <c r="C43" s="45" t="s">
        <v>177</v>
      </c>
      <c r="F43" s="82">
        <v>0.02</v>
      </c>
      <c r="G43" s="82">
        <v>0.02</v>
      </c>
      <c r="H43" s="82">
        <v>0.02</v>
      </c>
      <c r="I43" s="82">
        <v>0.02</v>
      </c>
      <c r="J43" s="82">
        <v>0.02</v>
      </c>
      <c r="K43" s="82">
        <v>0.02</v>
      </c>
      <c r="L43" s="82">
        <v>0.02</v>
      </c>
      <c r="M43" s="82">
        <v>0.02</v>
      </c>
      <c r="N43" s="82">
        <v>0.02</v>
      </c>
      <c r="O43" s="82">
        <v>0.02</v>
      </c>
      <c r="P43" s="82">
        <v>0.02</v>
      </c>
      <c r="Q43" s="82">
        <v>0.02</v>
      </c>
      <c r="R43" s="82">
        <v>0.02</v>
      </c>
      <c r="S43" s="82">
        <v>0.02</v>
      </c>
      <c r="T43" s="82">
        <v>0.02</v>
      </c>
      <c r="U43" s="82">
        <v>0.02</v>
      </c>
      <c r="V43" s="82">
        <v>0.02</v>
      </c>
      <c r="W43" s="82">
        <v>0.02</v>
      </c>
      <c r="X43" s="82">
        <v>0.02</v>
      </c>
      <c r="Y43" s="82">
        <v>0.02</v>
      </c>
      <c r="Z43" s="82">
        <v>0.02</v>
      </c>
      <c r="AA43" s="82">
        <v>0.02</v>
      </c>
      <c r="AB43" s="82">
        <v>0.02</v>
      </c>
      <c r="AC43" s="82">
        <v>0.02</v>
      </c>
      <c r="AD43" s="8" t="s">
        <v>75</v>
      </c>
    </row>
    <row r="44" spans="1:30" x14ac:dyDescent="0.2">
      <c r="B44" s="19"/>
      <c r="C44" s="45"/>
      <c r="AD44" s="8" t="s">
        <v>75</v>
      </c>
    </row>
    <row r="45" spans="1:30" s="3" customFormat="1" x14ac:dyDescent="0.2">
      <c r="A45" s="17" t="s">
        <v>75</v>
      </c>
      <c r="B45" s="3" t="s">
        <v>649</v>
      </c>
      <c r="C45" s="332"/>
      <c r="AD45" s="117" t="s">
        <v>75</v>
      </c>
    </row>
    <row r="46" spans="1:30" s="35" customFormat="1" x14ac:dyDescent="0.2">
      <c r="A46" s="1" t="s">
        <v>75</v>
      </c>
      <c r="B46" s="36" t="s">
        <v>5</v>
      </c>
      <c r="D46" s="36"/>
      <c r="E46" s="36"/>
      <c r="AD46" s="90" t="s">
        <v>75</v>
      </c>
    </row>
    <row r="47" spans="1:30" s="2" customFormat="1" x14ac:dyDescent="0.2">
      <c r="B47" s="2" t="s">
        <v>297</v>
      </c>
      <c r="C47" s="45" t="s">
        <v>177</v>
      </c>
      <c r="D47" s="127">
        <f ca="1">+Ctrl!$G$51</f>
        <v>1</v>
      </c>
      <c r="F47" s="85">
        <f ca="1">+OFFSET(F47,$D47,)</f>
        <v>0.01</v>
      </c>
      <c r="G47" s="85">
        <f t="shared" ref="G47:AC47" ca="1" si="19">+OFFSET(G47,$D47,)</f>
        <v>0.01</v>
      </c>
      <c r="H47" s="85">
        <f t="shared" ca="1" si="19"/>
        <v>0.01</v>
      </c>
      <c r="I47" s="85">
        <f t="shared" ca="1" si="19"/>
        <v>0.01</v>
      </c>
      <c r="J47" s="85">
        <f t="shared" ca="1" si="19"/>
        <v>0.01</v>
      </c>
      <c r="K47" s="85">
        <f t="shared" ca="1" si="19"/>
        <v>0.01</v>
      </c>
      <c r="L47" s="85">
        <f t="shared" ca="1" si="19"/>
        <v>0.01</v>
      </c>
      <c r="M47" s="85">
        <f t="shared" ca="1" si="19"/>
        <v>0.01</v>
      </c>
      <c r="N47" s="85">
        <f t="shared" ca="1" si="19"/>
        <v>0.01</v>
      </c>
      <c r="O47" s="85">
        <f t="shared" ca="1" si="19"/>
        <v>0.01</v>
      </c>
      <c r="P47" s="85">
        <f t="shared" ca="1" si="19"/>
        <v>0.01</v>
      </c>
      <c r="Q47" s="85">
        <f t="shared" ca="1" si="19"/>
        <v>0.01</v>
      </c>
      <c r="R47" s="85">
        <f t="shared" ca="1" si="19"/>
        <v>0.01</v>
      </c>
      <c r="S47" s="85">
        <f t="shared" ca="1" si="19"/>
        <v>0.01</v>
      </c>
      <c r="T47" s="85">
        <f t="shared" ca="1" si="19"/>
        <v>0.01</v>
      </c>
      <c r="U47" s="85">
        <f t="shared" ca="1" si="19"/>
        <v>0.01</v>
      </c>
      <c r="V47" s="85">
        <f t="shared" ca="1" si="19"/>
        <v>0.01</v>
      </c>
      <c r="W47" s="85">
        <f t="shared" ca="1" si="19"/>
        <v>0.01</v>
      </c>
      <c r="X47" s="85">
        <f t="shared" ca="1" si="19"/>
        <v>0.01</v>
      </c>
      <c r="Y47" s="85">
        <f t="shared" ca="1" si="19"/>
        <v>0.01</v>
      </c>
      <c r="Z47" s="85">
        <f t="shared" ca="1" si="19"/>
        <v>0.01</v>
      </c>
      <c r="AA47" s="85">
        <f t="shared" ca="1" si="19"/>
        <v>0.01</v>
      </c>
      <c r="AB47" s="85">
        <f t="shared" ca="1" si="19"/>
        <v>0.01</v>
      </c>
      <c r="AC47" s="85">
        <f t="shared" ca="1" si="19"/>
        <v>0.01</v>
      </c>
      <c r="AD47" s="8" t="s">
        <v>75</v>
      </c>
    </row>
    <row r="48" spans="1:30" x14ac:dyDescent="0.2">
      <c r="B48" s="19" t="s">
        <v>210</v>
      </c>
      <c r="C48" s="45" t="s">
        <v>177</v>
      </c>
      <c r="D48" s="17"/>
      <c r="F48" s="147">
        <v>0.01</v>
      </c>
      <c r="G48" s="147">
        <v>0.01</v>
      </c>
      <c r="H48" s="147">
        <v>0.01</v>
      </c>
      <c r="I48" s="147">
        <v>0.01</v>
      </c>
      <c r="J48" s="147">
        <v>0.01</v>
      </c>
      <c r="K48" s="147">
        <v>0.01</v>
      </c>
      <c r="L48" s="147">
        <v>0.01</v>
      </c>
      <c r="M48" s="147">
        <v>0.01</v>
      </c>
      <c r="N48" s="147">
        <v>0.01</v>
      </c>
      <c r="O48" s="147">
        <v>0.01</v>
      </c>
      <c r="P48" s="147">
        <v>0.01</v>
      </c>
      <c r="Q48" s="147">
        <v>0.01</v>
      </c>
      <c r="R48" s="147">
        <v>0.01</v>
      </c>
      <c r="S48" s="147">
        <v>0.01</v>
      </c>
      <c r="T48" s="147">
        <v>0.01</v>
      </c>
      <c r="U48" s="147">
        <v>0.01</v>
      </c>
      <c r="V48" s="147">
        <v>0.01</v>
      </c>
      <c r="W48" s="147">
        <v>0.01</v>
      </c>
      <c r="X48" s="147">
        <v>0.01</v>
      </c>
      <c r="Y48" s="147">
        <v>0.01</v>
      </c>
      <c r="Z48" s="147">
        <v>0.01</v>
      </c>
      <c r="AA48" s="147">
        <v>0.01</v>
      </c>
      <c r="AB48" s="147">
        <v>0.01</v>
      </c>
      <c r="AC48" s="147">
        <v>0.01</v>
      </c>
      <c r="AD48" s="8" t="s">
        <v>75</v>
      </c>
    </row>
    <row r="49" spans="1:30" x14ac:dyDescent="0.2">
      <c r="B49" s="19"/>
      <c r="C49" s="45"/>
      <c r="D49" s="17"/>
      <c r="AD49" s="8" t="s">
        <v>75</v>
      </c>
    </row>
    <row r="50" spans="1:30" s="35" customFormat="1" x14ac:dyDescent="0.2">
      <c r="A50" s="1" t="s">
        <v>75</v>
      </c>
      <c r="B50" s="36" t="s">
        <v>214</v>
      </c>
      <c r="D50" s="36"/>
      <c r="E50" s="36"/>
      <c r="AD50" s="90" t="s">
        <v>75</v>
      </c>
    </row>
    <row r="51" spans="1:30" s="2" customFormat="1" x14ac:dyDescent="0.2">
      <c r="B51" s="2" t="s">
        <v>259</v>
      </c>
      <c r="C51" s="45" t="s">
        <v>235</v>
      </c>
      <c r="D51" s="84">
        <f ca="1">+Ctrl!$G$52</f>
        <v>1</v>
      </c>
      <c r="F51" s="112">
        <f ca="1">+OFFSET(F51,$D51,)</f>
        <v>65</v>
      </c>
      <c r="G51" s="112">
        <f t="shared" ref="G51:AC51" ca="1" si="20">+OFFSET(G51,$D51,)</f>
        <v>65</v>
      </c>
      <c r="H51" s="112">
        <f t="shared" ca="1" si="20"/>
        <v>65</v>
      </c>
      <c r="I51" s="112">
        <f t="shared" ca="1" si="20"/>
        <v>65</v>
      </c>
      <c r="J51" s="112">
        <f t="shared" ca="1" si="20"/>
        <v>67.600000000000009</v>
      </c>
      <c r="K51" s="112">
        <f t="shared" ca="1" si="20"/>
        <v>67.600000000000009</v>
      </c>
      <c r="L51" s="112">
        <f t="shared" ca="1" si="20"/>
        <v>67.600000000000009</v>
      </c>
      <c r="M51" s="112">
        <f t="shared" ca="1" si="20"/>
        <v>67.600000000000009</v>
      </c>
      <c r="N51" s="112">
        <f t="shared" ca="1" si="20"/>
        <v>70.304000000000016</v>
      </c>
      <c r="O51" s="112">
        <f t="shared" ca="1" si="20"/>
        <v>70.304000000000016</v>
      </c>
      <c r="P51" s="112">
        <f t="shared" ca="1" si="20"/>
        <v>70.304000000000016</v>
      </c>
      <c r="Q51" s="112">
        <f t="shared" ca="1" si="20"/>
        <v>70.304000000000016</v>
      </c>
      <c r="R51" s="112">
        <f t="shared" ca="1" si="20"/>
        <v>73.116160000000022</v>
      </c>
      <c r="S51" s="112">
        <f t="shared" ca="1" si="20"/>
        <v>73.116160000000022</v>
      </c>
      <c r="T51" s="112">
        <f t="shared" ca="1" si="20"/>
        <v>73.116160000000022</v>
      </c>
      <c r="U51" s="112">
        <f t="shared" ca="1" si="20"/>
        <v>73.116160000000022</v>
      </c>
      <c r="V51" s="112">
        <f t="shared" ca="1" si="20"/>
        <v>76.040806400000022</v>
      </c>
      <c r="W51" s="112">
        <f t="shared" ca="1" si="20"/>
        <v>76.040806400000022</v>
      </c>
      <c r="X51" s="112">
        <f t="shared" ca="1" si="20"/>
        <v>76.040806400000022</v>
      </c>
      <c r="Y51" s="112">
        <f t="shared" ca="1" si="20"/>
        <v>76.040806400000022</v>
      </c>
      <c r="Z51" s="112">
        <f t="shared" ca="1" si="20"/>
        <v>79.082438656000022</v>
      </c>
      <c r="AA51" s="112">
        <f t="shared" ca="1" si="20"/>
        <v>79.082438656000022</v>
      </c>
      <c r="AB51" s="112">
        <f t="shared" ca="1" si="20"/>
        <v>79.082438656000022</v>
      </c>
      <c r="AC51" s="112">
        <f t="shared" ca="1" si="20"/>
        <v>79.082438656000022</v>
      </c>
      <c r="AD51" s="8" t="s">
        <v>75</v>
      </c>
    </row>
    <row r="52" spans="1:30" x14ac:dyDescent="0.2">
      <c r="B52" s="19" t="s">
        <v>236</v>
      </c>
      <c r="C52" s="45" t="s">
        <v>235</v>
      </c>
      <c r="F52" s="167">
        <v>65</v>
      </c>
      <c r="G52" s="167">
        <v>65</v>
      </c>
      <c r="H52" s="167">
        <v>65</v>
      </c>
      <c r="I52" s="167">
        <v>65</v>
      </c>
      <c r="J52" s="92">
        <f t="shared" ref="J52:AC52" ca="1" si="21">+F52*(1+inflation)</f>
        <v>67.600000000000009</v>
      </c>
      <c r="K52" s="92">
        <f t="shared" ca="1" si="21"/>
        <v>67.600000000000009</v>
      </c>
      <c r="L52" s="92">
        <f t="shared" ca="1" si="21"/>
        <v>67.600000000000009</v>
      </c>
      <c r="M52" s="92">
        <f t="shared" ca="1" si="21"/>
        <v>67.600000000000009</v>
      </c>
      <c r="N52" s="92">
        <f t="shared" ca="1" si="21"/>
        <v>70.304000000000016</v>
      </c>
      <c r="O52" s="92">
        <f t="shared" ca="1" si="21"/>
        <v>70.304000000000016</v>
      </c>
      <c r="P52" s="92">
        <f t="shared" ca="1" si="21"/>
        <v>70.304000000000016</v>
      </c>
      <c r="Q52" s="92">
        <f t="shared" ca="1" si="21"/>
        <v>70.304000000000016</v>
      </c>
      <c r="R52" s="92">
        <f t="shared" ca="1" si="21"/>
        <v>73.116160000000022</v>
      </c>
      <c r="S52" s="92">
        <f t="shared" ca="1" si="21"/>
        <v>73.116160000000022</v>
      </c>
      <c r="T52" s="92">
        <f t="shared" ca="1" si="21"/>
        <v>73.116160000000022</v>
      </c>
      <c r="U52" s="92">
        <f t="shared" ca="1" si="21"/>
        <v>73.116160000000022</v>
      </c>
      <c r="V52" s="92">
        <f t="shared" ca="1" si="21"/>
        <v>76.040806400000022</v>
      </c>
      <c r="W52" s="92">
        <f t="shared" ca="1" si="21"/>
        <v>76.040806400000022</v>
      </c>
      <c r="X52" s="92">
        <f t="shared" ca="1" si="21"/>
        <v>76.040806400000022</v>
      </c>
      <c r="Y52" s="92">
        <f t="shared" ca="1" si="21"/>
        <v>76.040806400000022</v>
      </c>
      <c r="Z52" s="92">
        <f t="shared" ca="1" si="21"/>
        <v>79.082438656000022</v>
      </c>
      <c r="AA52" s="92">
        <f t="shared" ca="1" si="21"/>
        <v>79.082438656000022</v>
      </c>
      <c r="AB52" s="92">
        <f t="shared" ca="1" si="21"/>
        <v>79.082438656000022</v>
      </c>
      <c r="AC52" s="92">
        <f t="shared" ca="1" si="21"/>
        <v>79.082438656000022</v>
      </c>
      <c r="AD52" s="8" t="s">
        <v>75</v>
      </c>
    </row>
    <row r="53" spans="1:30" x14ac:dyDescent="0.2">
      <c r="B53" s="19"/>
      <c r="C53" s="45"/>
      <c r="AD53" s="8" t="s">
        <v>75</v>
      </c>
    </row>
    <row r="54" spans="1:30" s="2" customFormat="1" x14ac:dyDescent="0.2">
      <c r="B54" s="2" t="s">
        <v>215</v>
      </c>
      <c r="C54" s="45" t="s">
        <v>177</v>
      </c>
      <c r="D54" s="127">
        <f ca="1">+Ctrl!$G$53</f>
        <v>1</v>
      </c>
      <c r="F54" s="85">
        <f ca="1">+OFFSET(F54,$D54,)</f>
        <v>0.55000000000000004</v>
      </c>
      <c r="G54" s="85">
        <f t="shared" ref="G54:AC54" ca="1" si="22">+OFFSET(G54,$D54,)</f>
        <v>0.55000000000000004</v>
      </c>
      <c r="H54" s="85">
        <f t="shared" ca="1" si="22"/>
        <v>0.55000000000000004</v>
      </c>
      <c r="I54" s="85">
        <f t="shared" ca="1" si="22"/>
        <v>0.55000000000000004</v>
      </c>
      <c r="J54" s="85">
        <f t="shared" ca="1" si="22"/>
        <v>0.5575</v>
      </c>
      <c r="K54" s="85">
        <f t="shared" ca="1" si="22"/>
        <v>0.5575</v>
      </c>
      <c r="L54" s="85">
        <f t="shared" ca="1" si="22"/>
        <v>0.5575</v>
      </c>
      <c r="M54" s="85">
        <f t="shared" ca="1" si="22"/>
        <v>0.5575</v>
      </c>
      <c r="N54" s="85">
        <f t="shared" ca="1" si="22"/>
        <v>0.56499999999999995</v>
      </c>
      <c r="O54" s="85">
        <f t="shared" ca="1" si="22"/>
        <v>0.56499999999999995</v>
      </c>
      <c r="P54" s="85">
        <f t="shared" ca="1" si="22"/>
        <v>0.56499999999999995</v>
      </c>
      <c r="Q54" s="85">
        <f t="shared" ca="1" si="22"/>
        <v>0.56499999999999995</v>
      </c>
      <c r="R54" s="85">
        <f t="shared" ca="1" si="22"/>
        <v>0.5724999999999999</v>
      </c>
      <c r="S54" s="85">
        <f t="shared" ca="1" si="22"/>
        <v>0.5724999999999999</v>
      </c>
      <c r="T54" s="85">
        <f t="shared" ca="1" si="22"/>
        <v>0.5724999999999999</v>
      </c>
      <c r="U54" s="85">
        <f t="shared" ca="1" si="22"/>
        <v>0.5724999999999999</v>
      </c>
      <c r="V54" s="85">
        <f t="shared" ca="1" si="22"/>
        <v>0.57999999999999985</v>
      </c>
      <c r="W54" s="85">
        <f t="shared" ca="1" si="22"/>
        <v>0.57999999999999985</v>
      </c>
      <c r="X54" s="85">
        <f t="shared" ca="1" si="22"/>
        <v>0.57999999999999985</v>
      </c>
      <c r="Y54" s="85">
        <f t="shared" ca="1" si="22"/>
        <v>0.57999999999999985</v>
      </c>
      <c r="Z54" s="85">
        <f t="shared" ca="1" si="22"/>
        <v>0.5874999999999998</v>
      </c>
      <c r="AA54" s="85">
        <f t="shared" ca="1" si="22"/>
        <v>0.5874999999999998</v>
      </c>
      <c r="AB54" s="85">
        <f t="shared" ca="1" si="22"/>
        <v>0.5874999999999998</v>
      </c>
      <c r="AC54" s="85">
        <f t="shared" ca="1" si="22"/>
        <v>0.5874999999999998</v>
      </c>
      <c r="AD54" s="8" t="s">
        <v>75</v>
      </c>
    </row>
    <row r="55" spans="1:30" x14ac:dyDescent="0.2">
      <c r="B55" s="20" t="s">
        <v>410</v>
      </c>
      <c r="C55" s="45" t="s">
        <v>177</v>
      </c>
      <c r="F55" s="82">
        <v>0.55000000000000004</v>
      </c>
      <c r="G55" s="82">
        <v>0.55000000000000004</v>
      </c>
      <c r="H55" s="82">
        <v>0.55000000000000004</v>
      </c>
      <c r="I55" s="82">
        <v>0.55000000000000004</v>
      </c>
      <c r="J55" s="91">
        <f t="shared" ref="J55:AC55" si="23">+F55+0.0075</f>
        <v>0.5575</v>
      </c>
      <c r="K55" s="91">
        <f t="shared" si="23"/>
        <v>0.5575</v>
      </c>
      <c r="L55" s="91">
        <f t="shared" si="23"/>
        <v>0.5575</v>
      </c>
      <c r="M55" s="91">
        <f t="shared" si="23"/>
        <v>0.5575</v>
      </c>
      <c r="N55" s="91">
        <f t="shared" si="23"/>
        <v>0.56499999999999995</v>
      </c>
      <c r="O55" s="91">
        <f t="shared" si="23"/>
        <v>0.56499999999999995</v>
      </c>
      <c r="P55" s="91">
        <f t="shared" si="23"/>
        <v>0.56499999999999995</v>
      </c>
      <c r="Q55" s="91">
        <f t="shared" si="23"/>
        <v>0.56499999999999995</v>
      </c>
      <c r="R55" s="91">
        <f t="shared" si="23"/>
        <v>0.5724999999999999</v>
      </c>
      <c r="S55" s="91">
        <f t="shared" si="23"/>
        <v>0.5724999999999999</v>
      </c>
      <c r="T55" s="91">
        <f t="shared" si="23"/>
        <v>0.5724999999999999</v>
      </c>
      <c r="U55" s="91">
        <f t="shared" si="23"/>
        <v>0.5724999999999999</v>
      </c>
      <c r="V55" s="91">
        <f t="shared" si="23"/>
        <v>0.57999999999999985</v>
      </c>
      <c r="W55" s="91">
        <f t="shared" si="23"/>
        <v>0.57999999999999985</v>
      </c>
      <c r="X55" s="91">
        <f t="shared" si="23"/>
        <v>0.57999999999999985</v>
      </c>
      <c r="Y55" s="91">
        <f t="shared" si="23"/>
        <v>0.57999999999999985</v>
      </c>
      <c r="Z55" s="91">
        <f t="shared" si="23"/>
        <v>0.5874999999999998</v>
      </c>
      <c r="AA55" s="91">
        <f t="shared" si="23"/>
        <v>0.5874999999999998</v>
      </c>
      <c r="AB55" s="91">
        <f t="shared" si="23"/>
        <v>0.5874999999999998</v>
      </c>
      <c r="AC55" s="91">
        <f t="shared" si="23"/>
        <v>0.5874999999999998</v>
      </c>
      <c r="AD55" s="8" t="s">
        <v>75</v>
      </c>
    </row>
    <row r="56" spans="1:30" x14ac:dyDescent="0.2">
      <c r="AD56" s="8" t="s">
        <v>455</v>
      </c>
    </row>
    <row r="57" spans="1:30" s="3" customFormat="1" x14ac:dyDescent="0.2">
      <c r="A57" s="17" t="s">
        <v>75</v>
      </c>
      <c r="B57" s="3" t="s">
        <v>214</v>
      </c>
      <c r="C57" s="332"/>
      <c r="AD57" s="117" t="s">
        <v>75</v>
      </c>
    </row>
    <row r="58" spans="1:30" s="35" customFormat="1" x14ac:dyDescent="0.2">
      <c r="A58" s="1" t="s">
        <v>75</v>
      </c>
      <c r="B58" s="36" t="s">
        <v>334</v>
      </c>
      <c r="D58" s="36"/>
      <c r="E58" s="36"/>
      <c r="AD58" s="90" t="s">
        <v>75</v>
      </c>
    </row>
    <row r="59" spans="1:30" s="2" customFormat="1" x14ac:dyDescent="0.2">
      <c r="B59" s="2" t="s">
        <v>456</v>
      </c>
      <c r="C59" s="45" t="s">
        <v>338</v>
      </c>
      <c r="D59" s="84">
        <f ca="1">+Ctrl!$G$81</f>
        <v>1</v>
      </c>
      <c r="F59" s="244">
        <f ca="1">+OFFSET(F59,$D59,)</f>
        <v>0</v>
      </c>
      <c r="G59" s="244">
        <f t="shared" ref="G59:AC59" ca="1" si="24">+OFFSET(G59,$D59,)</f>
        <v>0</v>
      </c>
      <c r="H59" s="244">
        <f t="shared" ca="1" si="24"/>
        <v>0</v>
      </c>
      <c r="I59" s="244">
        <f t="shared" ca="1" si="24"/>
        <v>0</v>
      </c>
      <c r="J59" s="244">
        <f t="shared" ca="1" si="24"/>
        <v>0</v>
      </c>
      <c r="K59" s="244">
        <f t="shared" ca="1" si="24"/>
        <v>0.1</v>
      </c>
      <c r="L59" s="244">
        <f t="shared" ca="1" si="24"/>
        <v>0</v>
      </c>
      <c r="M59" s="244">
        <f t="shared" ca="1" si="24"/>
        <v>0</v>
      </c>
      <c r="N59" s="244">
        <f t="shared" ca="1" si="24"/>
        <v>0</v>
      </c>
      <c r="O59" s="244">
        <f t="shared" ca="1" si="24"/>
        <v>0.05</v>
      </c>
      <c r="P59" s="244">
        <f t="shared" ca="1" si="24"/>
        <v>0</v>
      </c>
      <c r="Q59" s="244">
        <f t="shared" ca="1" si="24"/>
        <v>0</v>
      </c>
      <c r="R59" s="244">
        <f t="shared" ca="1" si="24"/>
        <v>0</v>
      </c>
      <c r="S59" s="244">
        <f t="shared" ca="1" si="24"/>
        <v>0.05</v>
      </c>
      <c r="T59" s="244">
        <f t="shared" ca="1" si="24"/>
        <v>0</v>
      </c>
      <c r="U59" s="244">
        <f t="shared" ca="1" si="24"/>
        <v>0</v>
      </c>
      <c r="V59" s="244">
        <f t="shared" ca="1" si="24"/>
        <v>0</v>
      </c>
      <c r="W59" s="244">
        <f t="shared" ca="1" si="24"/>
        <v>2.5000000000000001E-2</v>
      </c>
      <c r="X59" s="244">
        <f t="shared" ca="1" si="24"/>
        <v>0</v>
      </c>
      <c r="Y59" s="244">
        <f t="shared" ca="1" si="24"/>
        <v>0</v>
      </c>
      <c r="Z59" s="244">
        <f t="shared" ca="1" si="24"/>
        <v>0</v>
      </c>
      <c r="AA59" s="244">
        <f t="shared" ca="1" si="24"/>
        <v>2.5000000000000001E-2</v>
      </c>
      <c r="AB59" s="244">
        <f t="shared" ca="1" si="24"/>
        <v>0</v>
      </c>
      <c r="AC59" s="244">
        <f t="shared" ca="1" si="24"/>
        <v>0</v>
      </c>
      <c r="AD59" s="8" t="s">
        <v>75</v>
      </c>
    </row>
    <row r="60" spans="1:30" x14ac:dyDescent="0.2">
      <c r="B60" s="19" t="s">
        <v>210</v>
      </c>
      <c r="C60" s="45" t="s">
        <v>338</v>
      </c>
      <c r="F60" s="170">
        <v>0</v>
      </c>
      <c r="G60" s="170">
        <v>0</v>
      </c>
      <c r="H60" s="170">
        <v>0</v>
      </c>
      <c r="I60" s="170">
        <v>0</v>
      </c>
      <c r="J60" s="170">
        <v>0</v>
      </c>
      <c r="K60" s="170">
        <v>0.1</v>
      </c>
      <c r="L60" s="170">
        <v>0</v>
      </c>
      <c r="M60" s="170">
        <v>0</v>
      </c>
      <c r="N60" s="170">
        <v>0</v>
      </c>
      <c r="O60" s="170">
        <v>0.05</v>
      </c>
      <c r="P60" s="170">
        <v>0</v>
      </c>
      <c r="Q60" s="170">
        <v>0</v>
      </c>
      <c r="R60" s="170">
        <v>0</v>
      </c>
      <c r="S60" s="170">
        <v>0.05</v>
      </c>
      <c r="T60" s="170">
        <v>0</v>
      </c>
      <c r="U60" s="170">
        <v>0</v>
      </c>
      <c r="V60" s="170">
        <v>0</v>
      </c>
      <c r="W60" s="170">
        <v>2.5000000000000001E-2</v>
      </c>
      <c r="X60" s="170">
        <v>0</v>
      </c>
      <c r="Y60" s="170">
        <v>0</v>
      </c>
      <c r="Z60" s="170">
        <v>0</v>
      </c>
      <c r="AA60" s="170">
        <v>2.5000000000000001E-2</v>
      </c>
      <c r="AB60" s="170">
        <v>0</v>
      </c>
      <c r="AC60" s="170">
        <v>0</v>
      </c>
      <c r="AD60" s="8" t="s">
        <v>75</v>
      </c>
    </row>
    <row r="61" spans="1:30" x14ac:dyDescent="0.2">
      <c r="AD61" s="8" t="s">
        <v>75</v>
      </c>
    </row>
    <row r="62" spans="1:30" s="2" customFormat="1" x14ac:dyDescent="0.2">
      <c r="B62" s="2" t="s">
        <v>457</v>
      </c>
      <c r="C62" s="45" t="s">
        <v>187</v>
      </c>
      <c r="D62" s="84">
        <f ca="1">+Ctrl!$G$82</f>
        <v>1</v>
      </c>
      <c r="F62" s="24">
        <f ca="1">+OFFSET(F62,$D62,)</f>
        <v>0</v>
      </c>
      <c r="G62" s="24">
        <f t="shared" ref="G62:AC62" ca="1" si="25">+OFFSET(G62,$D62,)</f>
        <v>0</v>
      </c>
      <c r="H62" s="24">
        <f t="shared" ca="1" si="25"/>
        <v>0</v>
      </c>
      <c r="I62" s="24">
        <f t="shared" ca="1" si="25"/>
        <v>0</v>
      </c>
      <c r="J62" s="24">
        <f t="shared" ca="1" si="25"/>
        <v>0</v>
      </c>
      <c r="K62" s="24">
        <f t="shared" ca="1" si="25"/>
        <v>0</v>
      </c>
      <c r="L62" s="24">
        <f t="shared" ca="1" si="25"/>
        <v>0</v>
      </c>
      <c r="M62" s="24">
        <f t="shared" ca="1" si="25"/>
        <v>0</v>
      </c>
      <c r="N62" s="24">
        <f t="shared" ca="1" si="25"/>
        <v>0</v>
      </c>
      <c r="O62" s="24">
        <f t="shared" ca="1" si="25"/>
        <v>0</v>
      </c>
      <c r="P62" s="24">
        <f t="shared" ca="1" si="25"/>
        <v>0</v>
      </c>
      <c r="Q62" s="24">
        <f t="shared" ca="1" si="25"/>
        <v>0</v>
      </c>
      <c r="R62" s="24">
        <f t="shared" ca="1" si="25"/>
        <v>0</v>
      </c>
      <c r="S62" s="24">
        <f t="shared" ca="1" si="25"/>
        <v>0</v>
      </c>
      <c r="T62" s="24">
        <f t="shared" ca="1" si="25"/>
        <v>0</v>
      </c>
      <c r="U62" s="24">
        <f t="shared" ca="1" si="25"/>
        <v>0</v>
      </c>
      <c r="V62" s="24">
        <f t="shared" ca="1" si="25"/>
        <v>0</v>
      </c>
      <c r="W62" s="24">
        <f t="shared" ca="1" si="25"/>
        <v>0</v>
      </c>
      <c r="X62" s="24">
        <f t="shared" ca="1" si="25"/>
        <v>0</v>
      </c>
      <c r="Y62" s="24">
        <f t="shared" ca="1" si="25"/>
        <v>0</v>
      </c>
      <c r="Z62" s="24">
        <f t="shared" ca="1" si="25"/>
        <v>0</v>
      </c>
      <c r="AA62" s="24">
        <f t="shared" ca="1" si="25"/>
        <v>0</v>
      </c>
      <c r="AB62" s="24">
        <f t="shared" ca="1" si="25"/>
        <v>0</v>
      </c>
      <c r="AC62" s="24">
        <f t="shared" ca="1" si="25"/>
        <v>0</v>
      </c>
      <c r="AD62" s="8" t="s">
        <v>75</v>
      </c>
    </row>
    <row r="63" spans="1:30" x14ac:dyDescent="0.2">
      <c r="B63" s="19" t="s">
        <v>596</v>
      </c>
      <c r="C63" s="45" t="s">
        <v>187</v>
      </c>
      <c r="F63" s="12">
        <v>0</v>
      </c>
      <c r="G63" s="12"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8" t="s">
        <v>75</v>
      </c>
    </row>
    <row r="64" spans="1:30" x14ac:dyDescent="0.2">
      <c r="AD64" s="8" t="s">
        <v>75</v>
      </c>
    </row>
    <row r="65" spans="1:30" s="35" customFormat="1" x14ac:dyDescent="0.2">
      <c r="A65" s="1" t="s">
        <v>75</v>
      </c>
      <c r="B65" s="36" t="s">
        <v>368</v>
      </c>
      <c r="D65" s="36"/>
      <c r="E65" s="36"/>
      <c r="AD65" s="90" t="s">
        <v>75</v>
      </c>
    </row>
    <row r="66" spans="1:30" s="2" customFormat="1" x14ac:dyDescent="0.2">
      <c r="B66" s="2" t="s">
        <v>597</v>
      </c>
      <c r="C66" s="45" t="s">
        <v>177</v>
      </c>
      <c r="D66" s="252">
        <v>1</v>
      </c>
      <c r="F66" s="85">
        <f ca="1">+OFFSET(F66,$D66,)</f>
        <v>0.25</v>
      </c>
      <c r="G66" s="85">
        <f t="shared" ref="G66:AC66" ca="1" si="26">+OFFSET(G66,$D66,)</f>
        <v>0.25</v>
      </c>
      <c r="H66" s="85">
        <f t="shared" ca="1" si="26"/>
        <v>0.15</v>
      </c>
      <c r="I66" s="85">
        <f t="shared" ca="1" si="26"/>
        <v>0.1</v>
      </c>
      <c r="J66" s="85">
        <f t="shared" ca="1" si="26"/>
        <v>0</v>
      </c>
      <c r="K66" s="85">
        <f t="shared" ca="1" si="26"/>
        <v>0</v>
      </c>
      <c r="L66" s="85">
        <f t="shared" ca="1" si="26"/>
        <v>0</v>
      </c>
      <c r="M66" s="85">
        <f t="shared" ca="1" si="26"/>
        <v>0</v>
      </c>
      <c r="N66" s="85">
        <f t="shared" ca="1" si="26"/>
        <v>0</v>
      </c>
      <c r="O66" s="85">
        <f t="shared" ca="1" si="26"/>
        <v>0</v>
      </c>
      <c r="P66" s="85">
        <f t="shared" ca="1" si="26"/>
        <v>0</v>
      </c>
      <c r="Q66" s="85">
        <f t="shared" ca="1" si="26"/>
        <v>0</v>
      </c>
      <c r="R66" s="85">
        <f t="shared" ca="1" si="26"/>
        <v>0</v>
      </c>
      <c r="S66" s="85">
        <f t="shared" ca="1" si="26"/>
        <v>0</v>
      </c>
      <c r="T66" s="85">
        <f t="shared" ca="1" si="26"/>
        <v>0</v>
      </c>
      <c r="U66" s="85">
        <f t="shared" ca="1" si="26"/>
        <v>0</v>
      </c>
      <c r="V66" s="85">
        <f t="shared" ca="1" si="26"/>
        <v>0</v>
      </c>
      <c r="W66" s="85">
        <f t="shared" ca="1" si="26"/>
        <v>0</v>
      </c>
      <c r="X66" s="85">
        <f t="shared" ca="1" si="26"/>
        <v>0</v>
      </c>
      <c r="Y66" s="85">
        <f t="shared" ca="1" si="26"/>
        <v>0</v>
      </c>
      <c r="Z66" s="85">
        <f t="shared" ca="1" si="26"/>
        <v>0</v>
      </c>
      <c r="AA66" s="85">
        <f t="shared" ca="1" si="26"/>
        <v>0</v>
      </c>
      <c r="AB66" s="85">
        <f t="shared" ca="1" si="26"/>
        <v>0</v>
      </c>
      <c r="AC66" s="85">
        <f t="shared" ca="1" si="26"/>
        <v>0</v>
      </c>
      <c r="AD66" s="8" t="s">
        <v>75</v>
      </c>
    </row>
    <row r="67" spans="1:30" x14ac:dyDescent="0.2">
      <c r="B67" s="20" t="s">
        <v>210</v>
      </c>
      <c r="C67" s="45" t="s">
        <v>177</v>
      </c>
      <c r="D67" s="260"/>
      <c r="F67" s="82">
        <v>0.25</v>
      </c>
      <c r="G67" s="82">
        <v>0.25</v>
      </c>
      <c r="H67" s="82">
        <v>0.15</v>
      </c>
      <c r="I67" s="82">
        <v>0.1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2">
        <v>0</v>
      </c>
      <c r="U67" s="82">
        <v>0</v>
      </c>
      <c r="V67" s="82">
        <v>0</v>
      </c>
      <c r="W67" s="82">
        <v>0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" t="s">
        <v>75</v>
      </c>
    </row>
    <row r="68" spans="1:30" x14ac:dyDescent="0.2">
      <c r="D68" s="260"/>
      <c r="AD68" s="8" t="s">
        <v>75</v>
      </c>
    </row>
    <row r="69" spans="1:30" s="2" customFormat="1" x14ac:dyDescent="0.2">
      <c r="B69" s="2" t="s">
        <v>598</v>
      </c>
      <c r="C69" s="45" t="s">
        <v>177</v>
      </c>
      <c r="D69" s="252">
        <v>1</v>
      </c>
      <c r="F69" s="85">
        <f ca="1">+OFFSET(F69,$D69,)</f>
        <v>0</v>
      </c>
      <c r="G69" s="85">
        <f t="shared" ref="G69:AC69" ca="1" si="27">+OFFSET(G69,$D69,)</f>
        <v>0</v>
      </c>
      <c r="H69" s="85">
        <f t="shared" ca="1" si="27"/>
        <v>0</v>
      </c>
      <c r="I69" s="85">
        <f t="shared" ca="1" si="27"/>
        <v>0</v>
      </c>
      <c r="J69" s="85">
        <f t="shared" ca="1" si="27"/>
        <v>0.25</v>
      </c>
      <c r="K69" s="85">
        <f t="shared" ca="1" si="27"/>
        <v>0.25</v>
      </c>
      <c r="L69" s="85">
        <f t="shared" ca="1" si="27"/>
        <v>0.25</v>
      </c>
      <c r="M69" s="85">
        <f t="shared" ca="1" si="27"/>
        <v>0.25</v>
      </c>
      <c r="N69" s="85">
        <f t="shared" ca="1" si="27"/>
        <v>0</v>
      </c>
      <c r="O69" s="85">
        <f t="shared" ca="1" si="27"/>
        <v>0</v>
      </c>
      <c r="P69" s="85">
        <f t="shared" ca="1" si="27"/>
        <v>0</v>
      </c>
      <c r="Q69" s="85">
        <f t="shared" ca="1" si="27"/>
        <v>0</v>
      </c>
      <c r="R69" s="85">
        <f t="shared" ca="1" si="27"/>
        <v>0</v>
      </c>
      <c r="S69" s="85">
        <f t="shared" ca="1" si="27"/>
        <v>0</v>
      </c>
      <c r="T69" s="85">
        <f t="shared" ca="1" si="27"/>
        <v>0</v>
      </c>
      <c r="U69" s="85">
        <f t="shared" ca="1" si="27"/>
        <v>0</v>
      </c>
      <c r="V69" s="85">
        <f t="shared" ca="1" si="27"/>
        <v>0</v>
      </c>
      <c r="W69" s="85">
        <f t="shared" ca="1" si="27"/>
        <v>0</v>
      </c>
      <c r="X69" s="85">
        <f t="shared" ca="1" si="27"/>
        <v>0</v>
      </c>
      <c r="Y69" s="85">
        <f t="shared" ca="1" si="27"/>
        <v>0</v>
      </c>
      <c r="Z69" s="85">
        <f t="shared" ca="1" si="27"/>
        <v>0</v>
      </c>
      <c r="AA69" s="85">
        <f t="shared" ca="1" si="27"/>
        <v>0</v>
      </c>
      <c r="AB69" s="85">
        <f t="shared" ca="1" si="27"/>
        <v>0</v>
      </c>
      <c r="AC69" s="85">
        <f t="shared" ca="1" si="27"/>
        <v>0</v>
      </c>
      <c r="AD69" s="8" t="s">
        <v>75</v>
      </c>
    </row>
    <row r="70" spans="1:30" x14ac:dyDescent="0.2">
      <c r="B70" s="20" t="s">
        <v>210</v>
      </c>
      <c r="C70" s="45" t="s">
        <v>177</v>
      </c>
      <c r="F70" s="82">
        <v>0</v>
      </c>
      <c r="G70" s="82">
        <v>0</v>
      </c>
      <c r="H70" s="82">
        <v>0</v>
      </c>
      <c r="I70" s="82">
        <v>0</v>
      </c>
      <c r="J70" s="82">
        <v>0.25</v>
      </c>
      <c r="K70" s="82">
        <v>0.25</v>
      </c>
      <c r="L70" s="82">
        <v>0.25</v>
      </c>
      <c r="M70" s="82">
        <v>0.25</v>
      </c>
      <c r="N70" s="82">
        <v>0</v>
      </c>
      <c r="O70" s="82">
        <v>0</v>
      </c>
      <c r="P70" s="82">
        <v>0</v>
      </c>
      <c r="Q70" s="82">
        <v>0</v>
      </c>
      <c r="R70" s="82">
        <v>0</v>
      </c>
      <c r="S70" s="82">
        <v>0</v>
      </c>
      <c r="T70" s="82">
        <v>0</v>
      </c>
      <c r="U70" s="82">
        <v>0</v>
      </c>
      <c r="V70" s="82">
        <v>0</v>
      </c>
      <c r="W70" s="82">
        <v>0</v>
      </c>
      <c r="X70" s="82">
        <v>0</v>
      </c>
      <c r="Y70" s="82">
        <v>0</v>
      </c>
      <c r="Z70" s="82">
        <v>0</v>
      </c>
      <c r="AA70" s="82">
        <v>0</v>
      </c>
      <c r="AB70" s="82">
        <v>0</v>
      </c>
      <c r="AC70" s="82">
        <v>0</v>
      </c>
      <c r="AD70" s="8" t="s">
        <v>75</v>
      </c>
    </row>
  </sheetData>
  <conditionalFormatting sqref="C1">
    <cfRule type="cellIs" dxfId="11" priority="2" operator="equal">
      <formula>"OK"</formula>
    </cfRule>
  </conditionalFormatting>
  <conditionalFormatting sqref="C1">
    <cfRule type="cellIs" dxfId="10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B5262-30F0-4DCC-9146-7707A77EBCF8}">
  <sheetPr>
    <tabColor theme="0" tint="-0.499984740745262"/>
  </sheetPr>
  <dimension ref="A1:AE72"/>
  <sheetViews>
    <sheetView zoomScale="85" zoomScaleNormal="85" workbookViewId="0">
      <pane xSplit="4" ySplit="4" topLeftCell="E5" activePane="bottomRight" state="frozen"/>
      <selection pane="topRight" activeCell="E1" sqref="E1"/>
      <selection pane="bottomLeft" activeCell="A5" sqref="A5"/>
      <selection pane="bottomRight"/>
    </sheetView>
  </sheetViews>
  <sheetFormatPr defaultRowHeight="12.75" outlineLevelRow="1" x14ac:dyDescent="0.2"/>
  <cols>
    <col min="1" max="1" width="2.42578125" style="1" customWidth="1"/>
    <col min="2" max="2" width="33" style="1" customWidth="1"/>
    <col min="3" max="16384" width="9.140625" style="1"/>
  </cols>
  <sheetData>
    <row r="1" spans="1:31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31" s="5" customFormat="1" ht="16.5" x14ac:dyDescent="0.3">
      <c r="A2" s="6" t="s">
        <v>267</v>
      </c>
      <c r="D2" s="211">
        <f ca="1">+Ctrl!G10</f>
        <v>0.32102203236261162</v>
      </c>
    </row>
    <row r="3" spans="1:31" x14ac:dyDescent="0.2">
      <c r="B3" s="1" t="s">
        <v>0</v>
      </c>
      <c r="F3" s="9">
        <v>2019</v>
      </c>
      <c r="G3" s="9">
        <v>2020</v>
      </c>
      <c r="H3" s="8">
        <f>+G3+1</f>
        <v>2021</v>
      </c>
      <c r="I3" s="8">
        <f>+H3+1</f>
        <v>2022</v>
      </c>
      <c r="J3" s="8">
        <f t="shared" ref="J3:AA3" si="0">+I3+1</f>
        <v>2023</v>
      </c>
      <c r="K3" s="8">
        <f t="shared" si="0"/>
        <v>2024</v>
      </c>
      <c r="L3" s="8">
        <f t="shared" si="0"/>
        <v>2025</v>
      </c>
      <c r="M3" s="287">
        <f t="shared" si="0"/>
        <v>2026</v>
      </c>
      <c r="N3" s="54">
        <f t="shared" si="0"/>
        <v>2027</v>
      </c>
      <c r="O3" s="8">
        <f t="shared" si="0"/>
        <v>2028</v>
      </c>
      <c r="P3" s="8">
        <f t="shared" si="0"/>
        <v>2029</v>
      </c>
      <c r="Q3" s="8">
        <f t="shared" si="0"/>
        <v>2030</v>
      </c>
      <c r="R3" s="8">
        <f t="shared" si="0"/>
        <v>2031</v>
      </c>
      <c r="S3" s="8">
        <f t="shared" si="0"/>
        <v>2032</v>
      </c>
      <c r="T3" s="8">
        <f t="shared" si="0"/>
        <v>2033</v>
      </c>
      <c r="U3" s="8">
        <f t="shared" si="0"/>
        <v>2034</v>
      </c>
      <c r="V3" s="8">
        <f t="shared" si="0"/>
        <v>2035</v>
      </c>
      <c r="W3" s="8">
        <f t="shared" si="0"/>
        <v>2036</v>
      </c>
      <c r="X3" s="8">
        <f t="shared" si="0"/>
        <v>2037</v>
      </c>
      <c r="Y3" s="8">
        <f t="shared" si="0"/>
        <v>2038</v>
      </c>
      <c r="Z3" s="8">
        <f t="shared" si="0"/>
        <v>2039</v>
      </c>
      <c r="AA3" s="8">
        <f t="shared" si="0"/>
        <v>2040</v>
      </c>
    </row>
    <row r="4" spans="1:31" outlineLevel="1" x14ac:dyDescent="0.2">
      <c r="C4" s="45"/>
      <c r="D4" s="11"/>
      <c r="F4" s="9">
        <v>0</v>
      </c>
      <c r="G4" s="9">
        <v>0</v>
      </c>
      <c r="H4" s="8">
        <f>+G4+1</f>
        <v>1</v>
      </c>
      <c r="I4" s="8">
        <f>+H4+1</f>
        <v>2</v>
      </c>
      <c r="J4" s="8">
        <f t="shared" ref="J4:AA4" si="1">+I4+1</f>
        <v>3</v>
      </c>
      <c r="K4" s="8">
        <f t="shared" si="1"/>
        <v>4</v>
      </c>
      <c r="L4" s="8">
        <f t="shared" si="1"/>
        <v>5</v>
      </c>
      <c r="M4" s="287">
        <f t="shared" si="1"/>
        <v>6</v>
      </c>
      <c r="N4" s="54">
        <f t="shared" si="1"/>
        <v>7</v>
      </c>
      <c r="O4" s="8">
        <f t="shared" si="1"/>
        <v>8</v>
      </c>
      <c r="P4" s="8">
        <f t="shared" si="1"/>
        <v>9</v>
      </c>
      <c r="Q4" s="8">
        <f t="shared" si="1"/>
        <v>10</v>
      </c>
      <c r="R4" s="8">
        <f t="shared" si="1"/>
        <v>11</v>
      </c>
      <c r="S4" s="8">
        <f t="shared" si="1"/>
        <v>12</v>
      </c>
      <c r="T4" s="8">
        <f t="shared" si="1"/>
        <v>13</v>
      </c>
      <c r="U4" s="8">
        <f t="shared" si="1"/>
        <v>14</v>
      </c>
      <c r="V4" s="8">
        <f t="shared" si="1"/>
        <v>15</v>
      </c>
      <c r="W4" s="8">
        <f t="shared" si="1"/>
        <v>16</v>
      </c>
      <c r="X4" s="8">
        <f t="shared" si="1"/>
        <v>17</v>
      </c>
      <c r="Y4" s="8">
        <f t="shared" si="1"/>
        <v>18</v>
      </c>
      <c r="Z4" s="8">
        <f t="shared" si="1"/>
        <v>19</v>
      </c>
      <c r="AA4" s="8">
        <f t="shared" si="1"/>
        <v>20</v>
      </c>
    </row>
    <row r="5" spans="1:31" x14ac:dyDescent="0.2">
      <c r="C5" s="45"/>
      <c r="D5" s="23"/>
      <c r="M5" s="288"/>
      <c r="N5" s="60"/>
    </row>
    <row r="6" spans="1:31" x14ac:dyDescent="0.2">
      <c r="B6" s="1" t="s">
        <v>197</v>
      </c>
      <c r="F6" s="63">
        <f ca="1">+AVERAGEIFS(FX!$11:$11,FX!$6:$6,F$3)</f>
        <v>3.943887038715336</v>
      </c>
      <c r="G6" s="63">
        <f ca="1">+AVERAGEIFS(FX!$11:$11,FX!$6:$6,G$3)</f>
        <v>5.1583516592153948</v>
      </c>
      <c r="H6" s="63">
        <f ca="1">+AVERAGEIFS(FX!$11:$11,FX!$6:$6,H$3)</f>
        <v>5.6016279815717596</v>
      </c>
      <c r="I6" s="63">
        <f ca="1">+AVERAGEIFS(FX!$11:$11,FX!$6:$6,I$3)</f>
        <v>5.7715568420005177</v>
      </c>
      <c r="J6" s="63">
        <f ca="1">+AVERAGEIFS(FX!$11:$11,FX!$6:$6,J$3)</f>
        <v>5.8872736817255227</v>
      </c>
      <c r="K6" s="63">
        <f ca="1">+AVERAGEIFS(FX!$11:$11,FX!$6:$6,K$3)</f>
        <v>6.005310586445554</v>
      </c>
      <c r="L6" s="63">
        <f ca="1">+AVERAGEIFS(FX!$11:$11,FX!$6:$6,L$3)</f>
        <v>6.1257140723080834</v>
      </c>
      <c r="M6" s="289">
        <f ca="1">+AVERAGEIFS(FX!$11:$11,FX!$6:$6,M$3)</f>
        <v>6.2485315880861627</v>
      </c>
      <c r="N6" s="286">
        <f ca="1">+M6*(1.04/1.02)</f>
        <v>6.371051815303538</v>
      </c>
      <c r="O6" s="105">
        <f t="shared" ref="O6:AA6" ca="1" si="2">+N6*(1.04/1.02)</f>
        <v>6.4959743999173325</v>
      </c>
      <c r="P6" s="105">
        <f t="shared" ca="1" si="2"/>
        <v>6.6233464469745345</v>
      </c>
      <c r="Q6" s="105">
        <f t="shared" ca="1" si="2"/>
        <v>6.7532159851505051</v>
      </c>
      <c r="R6" s="105">
        <f t="shared" ca="1" si="2"/>
        <v>6.8856319848593381</v>
      </c>
      <c r="S6" s="105">
        <f t="shared" ca="1" si="2"/>
        <v>7.020644376719325</v>
      </c>
      <c r="T6" s="105">
        <f t="shared" ca="1" si="2"/>
        <v>7.1583040703804874</v>
      </c>
      <c r="U6" s="105">
        <f t="shared" ca="1" si="2"/>
        <v>7.2986629737212807</v>
      </c>
      <c r="V6" s="105">
        <f t="shared" ca="1" si="2"/>
        <v>7.4417740124216971</v>
      </c>
      <c r="W6" s="105">
        <f t="shared" ca="1" si="2"/>
        <v>7.5876911499201611</v>
      </c>
      <c r="X6" s="105">
        <f t="shared" ca="1" si="2"/>
        <v>7.7364694077617324</v>
      </c>
      <c r="Y6" s="105">
        <f t="shared" ca="1" si="2"/>
        <v>7.8881648863452956</v>
      </c>
      <c r="Z6" s="105">
        <f t="shared" ca="1" si="2"/>
        <v>8.042834786077556</v>
      </c>
      <c r="AA6" s="105">
        <f t="shared" ca="1" si="2"/>
        <v>8.2005374289418214</v>
      </c>
    </row>
    <row r="7" spans="1:31" x14ac:dyDescent="0.2">
      <c r="M7" s="288"/>
      <c r="N7" s="60"/>
    </row>
    <row r="8" spans="1:31" x14ac:dyDescent="0.2">
      <c r="B8" s="2" t="s">
        <v>311</v>
      </c>
      <c r="M8" s="288"/>
    </row>
    <row r="9" spans="1:31" x14ac:dyDescent="0.2">
      <c r="B9" s="19" t="s">
        <v>7</v>
      </c>
      <c r="C9" s="45" t="s">
        <v>164</v>
      </c>
      <c r="D9" s="82">
        <v>0.01</v>
      </c>
      <c r="M9" s="288"/>
    </row>
    <row r="10" spans="1:31" x14ac:dyDescent="0.2">
      <c r="B10" s="19" t="s">
        <v>8</v>
      </c>
      <c r="C10" s="45" t="s">
        <v>164</v>
      </c>
      <c r="D10" s="82">
        <v>0.01</v>
      </c>
      <c r="M10" s="288"/>
    </row>
    <row r="11" spans="1:31" x14ac:dyDescent="0.2">
      <c r="B11" s="19"/>
      <c r="M11" s="288"/>
    </row>
    <row r="12" spans="1:31" x14ac:dyDescent="0.2">
      <c r="B12" s="19" t="s">
        <v>6</v>
      </c>
      <c r="C12" s="45" t="s">
        <v>187</v>
      </c>
      <c r="D12" s="82">
        <v>5.5E-2</v>
      </c>
      <c r="M12" s="288"/>
    </row>
    <row r="13" spans="1:31" x14ac:dyDescent="0.2">
      <c r="B13" s="19" t="s">
        <v>7</v>
      </c>
      <c r="C13" s="45" t="s">
        <v>187</v>
      </c>
      <c r="M13" s="288"/>
    </row>
    <row r="14" spans="1:31" x14ac:dyDescent="0.2">
      <c r="B14" s="19" t="s">
        <v>8</v>
      </c>
      <c r="C14" s="45" t="s">
        <v>187</v>
      </c>
      <c r="M14" s="288"/>
    </row>
    <row r="15" spans="1:31" x14ac:dyDescent="0.2">
      <c r="B15" s="19" t="s">
        <v>225</v>
      </c>
      <c r="C15" s="45" t="s">
        <v>187</v>
      </c>
      <c r="D15" s="82">
        <v>0.04</v>
      </c>
      <c r="M15" s="288"/>
    </row>
    <row r="16" spans="1:31" s="2" customFormat="1" x14ac:dyDescent="0.2">
      <c r="B16" s="2" t="s">
        <v>222</v>
      </c>
      <c r="C16" s="81" t="s">
        <v>187</v>
      </c>
      <c r="D16" s="16">
        <v>15100</v>
      </c>
      <c r="E16" s="1"/>
      <c r="F16" s="1"/>
      <c r="G16" s="1"/>
      <c r="H16" s="1"/>
      <c r="I16" s="1"/>
      <c r="J16" s="1"/>
      <c r="K16" s="1"/>
      <c r="L16" s="1"/>
      <c r="M16" s="28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2:27" x14ac:dyDescent="0.2">
      <c r="B17" s="19" t="s">
        <v>312</v>
      </c>
      <c r="C17" s="45" t="s">
        <v>223</v>
      </c>
      <c r="D17" s="12">
        <v>14</v>
      </c>
      <c r="M17" s="288"/>
    </row>
    <row r="18" spans="2:27" x14ac:dyDescent="0.2">
      <c r="C18" s="45"/>
      <c r="D18" s="23"/>
      <c r="M18" s="288"/>
      <c r="N18" s="60"/>
    </row>
    <row r="19" spans="2:27" x14ac:dyDescent="0.2">
      <c r="B19" s="2" t="s">
        <v>310</v>
      </c>
      <c r="M19" s="288"/>
      <c r="N19" s="60"/>
      <c r="AA19" s="11"/>
    </row>
    <row r="20" spans="2:27" x14ac:dyDescent="0.2">
      <c r="B20" s="19" t="s">
        <v>6</v>
      </c>
      <c r="C20" s="45" t="s">
        <v>187</v>
      </c>
      <c r="E20" s="107"/>
      <c r="F20" s="107">
        <f>+SUMIFS(North!$33:$33,North!$3:$3,F$3)</f>
        <v>380.54044082134919</v>
      </c>
      <c r="G20" s="107">
        <f>+SUMIFS(North!$33:$33,North!$3:$3,G$3)</f>
        <v>503.29057318000093</v>
      </c>
      <c r="H20" s="107">
        <f ca="1">+SUMIFS(North!$33:$33,North!$3:$3,H$3)</f>
        <v>639.02987469188292</v>
      </c>
      <c r="I20" s="107">
        <f ca="1">+SUMIFS(North!$33:$33,North!$3:$3,I$3)</f>
        <v>732.14422519433799</v>
      </c>
      <c r="J20" s="107">
        <f ca="1">+SUMIFS(North!$33:$33,North!$3:$3,J$3)</f>
        <v>837.13281244800203</v>
      </c>
      <c r="K20" s="107">
        <f ca="1">+SUMIFS(North!$33:$33,North!$3:$3,K$3)</f>
        <v>955.40666925923392</v>
      </c>
      <c r="L20" s="107">
        <f ca="1">+SUMIFS(North!$33:$33,North!$3:$3,L$3)</f>
        <v>1088.5373172033808</v>
      </c>
      <c r="M20" s="291">
        <f ca="1">+SUMIFS(North!$33:$33,North!$3:$3,M$3)</f>
        <v>1230.993944703951</v>
      </c>
      <c r="N20" s="107"/>
      <c r="O20" s="107"/>
    </row>
    <row r="21" spans="2:27" x14ac:dyDescent="0.2">
      <c r="B21" s="19" t="s">
        <v>7</v>
      </c>
      <c r="C21" s="45" t="s">
        <v>187</v>
      </c>
      <c r="E21" s="107"/>
      <c r="F21" s="149">
        <f>+SUMIFS(South!$41:$41,South!$3:$3,'Contract CF'!F3)</f>
        <v>378.06533209787318</v>
      </c>
      <c r="G21" s="149">
        <f>+SUMIFS(South!$41:$41,South!$3:$3,'Contract CF'!G3)</f>
        <v>484.20777812844858</v>
      </c>
      <c r="H21" s="149">
        <f ca="1">+SUMIFS(South!$41:$41,South!$3:$3,'Contract CF'!H3)</f>
        <v>536.45913464546868</v>
      </c>
      <c r="I21" s="149">
        <f ca="1">+SUMIFS(South!$41:$41,South!$3:$3,'Contract CF'!I3)</f>
        <v>561.82304637398386</v>
      </c>
      <c r="J21" s="149">
        <f ca="1">+SUMIFS(South!$41:$41,South!$3:$3,'Contract CF'!J3)</f>
        <v>584.55560313352441</v>
      </c>
      <c r="K21" s="149">
        <f ca="1">+SUMIFS(South!$41:$41,South!$3:$3,'Contract CF'!K3)</f>
        <v>608.35807571016051</v>
      </c>
      <c r="L21" s="149">
        <f ca="1">+SUMIFS(South!$41:$41,South!$3:$3,'Contract CF'!L3)</f>
        <v>633.28816555994911</v>
      </c>
      <c r="M21" s="292">
        <f ca="1">+SUMIFS(South!$41:$41,South!$3:$3,'Contract CF'!M3)</f>
        <v>659.40699504541135</v>
      </c>
      <c r="N21" s="60"/>
    </row>
    <row r="22" spans="2:27" x14ac:dyDescent="0.2">
      <c r="B22" s="19" t="s">
        <v>8</v>
      </c>
      <c r="C22" s="45" t="s">
        <v>187</v>
      </c>
      <c r="E22" s="107"/>
      <c r="F22" s="107">
        <f>+SUMIFS('Costal Nav'!$31:$31,'Costal Nav'!$3:$3,F$3)</f>
        <v>161.6330838386508</v>
      </c>
      <c r="G22" s="107">
        <f>+SUMIFS('Costal Nav'!$31:$31,'Costal Nav'!$3:$3,G$3)</f>
        <v>223.39514548</v>
      </c>
      <c r="H22" s="107">
        <f ca="1">+SUMIFS('Costal Nav'!$31:$31,'Costal Nav'!$3:$3,H$3)</f>
        <v>247.44936125251576</v>
      </c>
      <c r="I22" s="107">
        <f ca="1">+SUMIFS('Costal Nav'!$31:$31,'Costal Nav'!$3:$3,I$3)</f>
        <v>254.87284209009127</v>
      </c>
      <c r="J22" s="107">
        <f ca="1">+SUMIFS('Costal Nav'!$31:$31,'Costal Nav'!$3:$3,J$3)</f>
        <v>262.51902735279396</v>
      </c>
      <c r="K22" s="107">
        <f ca="1">+SUMIFS('Costal Nav'!$31:$31,'Costal Nav'!$3:$3,K$3)</f>
        <v>270.3945981733778</v>
      </c>
      <c r="L22" s="107">
        <f ca="1">+SUMIFS('Costal Nav'!$31:$31,'Costal Nav'!$3:$3,L$3)</f>
        <v>278.50643611857907</v>
      </c>
      <c r="M22" s="291">
        <f ca="1">+SUMIFS('Costal Nav'!$31:$31,'Costal Nav'!$3:$3,M$3)</f>
        <v>286.86162920213644</v>
      </c>
      <c r="N22" s="60"/>
    </row>
    <row r="23" spans="2:27" x14ac:dyDescent="0.2">
      <c r="B23" s="19" t="s">
        <v>225</v>
      </c>
      <c r="C23" s="45" t="s">
        <v>187</v>
      </c>
      <c r="E23" s="107"/>
      <c r="F23" s="107">
        <f>+SUMIFS(Santos!22:22,Santos!3:3,F$3)</f>
        <v>0</v>
      </c>
      <c r="G23" s="107">
        <f>+SUMIFS(Santos!22:22,Santos!3:3,G$3)</f>
        <v>39.761127330000001</v>
      </c>
      <c r="H23" s="107">
        <f ca="1">+SUMIFS(Santos!22:22,Santos!3:3,H$3)</f>
        <v>60.653404662308745</v>
      </c>
      <c r="I23" s="107">
        <f ca="1">+SUMIFS(Santos!22:22,Santos!3:3,I$3)</f>
        <v>121.75185216168281</v>
      </c>
      <c r="J23" s="107">
        <f ca="1">+SUMIFS(Santos!22:22,Santos!3:3,J$3)</f>
        <v>128.8327078235327</v>
      </c>
      <c r="K23" s="107">
        <f ca="1">+SUMIFS(Santos!22:22,Santos!3:3,K$3)</f>
        <v>136.4078919997965</v>
      </c>
      <c r="L23" s="107">
        <f ca="1">+SUMIFS(Santos!22:22,Santos!3:3,L$3)</f>
        <v>144.51541490104518</v>
      </c>
      <c r="M23" s="291">
        <f ca="1">+SUMIFS(Santos!22:22,Santos!3:3,M$3)</f>
        <v>153.19633312235916</v>
      </c>
      <c r="N23" s="60"/>
    </row>
    <row r="24" spans="2:27" s="2" customFormat="1" x14ac:dyDescent="0.2">
      <c r="B24" s="2" t="s">
        <v>222</v>
      </c>
      <c r="C24" s="45" t="s">
        <v>187</v>
      </c>
      <c r="E24" s="108"/>
      <c r="F24" s="108">
        <f t="shared" ref="F24:M24" si="3">+SUM(F20:F23)</f>
        <v>920.23885675787312</v>
      </c>
      <c r="G24" s="108">
        <f t="shared" si="3"/>
        <v>1250.6546241184494</v>
      </c>
      <c r="H24" s="108">
        <f t="shared" ca="1" si="3"/>
        <v>1483.5917752521759</v>
      </c>
      <c r="I24" s="108">
        <f t="shared" ca="1" si="3"/>
        <v>1670.591965820096</v>
      </c>
      <c r="J24" s="108">
        <f t="shared" ca="1" si="3"/>
        <v>1813.0401507578531</v>
      </c>
      <c r="K24" s="108">
        <f t="shared" ca="1" si="3"/>
        <v>1970.5672351425687</v>
      </c>
      <c r="L24" s="108">
        <f t="shared" ca="1" si="3"/>
        <v>2144.8473337829541</v>
      </c>
      <c r="M24" s="294">
        <f t="shared" ca="1" si="3"/>
        <v>2330.4589020738581</v>
      </c>
      <c r="N24" s="230"/>
    </row>
    <row r="25" spans="2:27" x14ac:dyDescent="0.2">
      <c r="M25" s="288"/>
      <c r="N25" s="60"/>
    </row>
    <row r="26" spans="2:27" x14ac:dyDescent="0.2">
      <c r="B26" s="1" t="s">
        <v>262</v>
      </c>
      <c r="C26" s="45" t="s">
        <v>177</v>
      </c>
      <c r="F26" s="82">
        <v>0.79800000000000004</v>
      </c>
      <c r="G26" s="82">
        <v>0.68799999999999994</v>
      </c>
      <c r="H26" s="91">
        <f ca="1">+H58</f>
        <v>0.49209774119392646</v>
      </c>
      <c r="I26" s="91">
        <f t="shared" ref="I26:M26" ca="1" si="4">+I58</f>
        <v>0.46819552867535624</v>
      </c>
      <c r="J26" s="91">
        <f t="shared" ca="1" si="4"/>
        <v>0.44435232113327838</v>
      </c>
      <c r="K26" s="91">
        <f t="shared" ca="1" si="4"/>
        <v>0.39400552214997436</v>
      </c>
      <c r="L26" s="91">
        <f t="shared" ca="1" si="4"/>
        <v>0.3728502215474343</v>
      </c>
      <c r="M26" s="290">
        <f t="shared" ca="1" si="4"/>
        <v>0.35344884518709491</v>
      </c>
      <c r="N26" s="60"/>
    </row>
    <row r="27" spans="2:27" x14ac:dyDescent="0.2">
      <c r="M27" s="288"/>
      <c r="N27" s="60"/>
      <c r="AA27" s="11"/>
    </row>
    <row r="28" spans="2:27" x14ac:dyDescent="0.2">
      <c r="B28" s="1" t="s">
        <v>499</v>
      </c>
      <c r="M28" s="288"/>
    </row>
    <row r="29" spans="2:27" x14ac:dyDescent="0.2">
      <c r="B29" s="1" t="s">
        <v>492</v>
      </c>
      <c r="F29" s="12">
        <v>21.225999999999999</v>
      </c>
      <c r="G29" s="12">
        <v>0</v>
      </c>
      <c r="M29" s="288"/>
    </row>
    <row r="30" spans="2:27" x14ac:dyDescent="0.2">
      <c r="B30" s="1" t="s">
        <v>490</v>
      </c>
      <c r="F30" s="12">
        <v>137.71299999999999</v>
      </c>
      <c r="G30" s="12">
        <v>263.99400000000003</v>
      </c>
      <c r="M30" s="288"/>
    </row>
    <row r="31" spans="2:27" x14ac:dyDescent="0.2">
      <c r="B31" s="1" t="s">
        <v>498</v>
      </c>
      <c r="F31" s="12">
        <v>16.228999999999999</v>
      </c>
      <c r="G31" s="12">
        <v>70.628</v>
      </c>
      <c r="M31" s="288"/>
    </row>
    <row r="32" spans="2:27" x14ac:dyDescent="0.2">
      <c r="B32" s="1" t="s">
        <v>222</v>
      </c>
      <c r="F32" s="23">
        <f>+F29+F30+F31</f>
        <v>175.16800000000001</v>
      </c>
      <c r="G32" s="23">
        <f>+G29+G30+G31</f>
        <v>334.62200000000001</v>
      </c>
      <c r="M32" s="288"/>
    </row>
    <row r="33" spans="2:27" x14ac:dyDescent="0.2">
      <c r="F33" s="12"/>
      <c r="G33" s="12"/>
      <c r="M33" s="288"/>
    </row>
    <row r="34" spans="2:27" x14ac:dyDescent="0.2">
      <c r="M34" s="288"/>
    </row>
    <row r="35" spans="2:27" x14ac:dyDescent="0.2">
      <c r="B35" s="1" t="s">
        <v>484</v>
      </c>
      <c r="C35" s="1" t="s">
        <v>485</v>
      </c>
      <c r="D35" s="1" t="s">
        <v>486</v>
      </c>
      <c r="E35" s="1" t="s">
        <v>491</v>
      </c>
      <c r="F35" s="1" t="s">
        <v>487</v>
      </c>
      <c r="G35" s="1" t="s">
        <v>493</v>
      </c>
      <c r="H35" s="1" t="s">
        <v>500</v>
      </c>
      <c r="I35" s="1" t="s">
        <v>501</v>
      </c>
      <c r="J35" s="198" t="s">
        <v>502</v>
      </c>
      <c r="M35" s="288"/>
    </row>
    <row r="36" spans="2:27" x14ac:dyDescent="0.2">
      <c r="B36" s="1" t="s">
        <v>488</v>
      </c>
      <c r="C36" s="1" t="s">
        <v>490</v>
      </c>
      <c r="D36" s="1">
        <v>2014</v>
      </c>
      <c r="E36" s="1">
        <v>25</v>
      </c>
      <c r="F36" s="1">
        <f t="shared" ref="F36:F43" si="5">+D36+E36</f>
        <v>2039</v>
      </c>
      <c r="G36" s="1">
        <f>+F36</f>
        <v>2039</v>
      </c>
      <c r="H36" s="1">
        <f>+G36-2021</f>
        <v>18</v>
      </c>
      <c r="I36" s="266">
        <v>60</v>
      </c>
      <c r="J36" s="198"/>
      <c r="K36" s="198">
        <f t="shared" ref="K36:K44" si="6">+(I36/I$44*J$44)</f>
        <v>9.0599999999999987</v>
      </c>
      <c r="L36" s="267">
        <v>0.03</v>
      </c>
      <c r="M36" s="295"/>
      <c r="N36" s="145"/>
    </row>
    <row r="37" spans="2:27" x14ac:dyDescent="0.2">
      <c r="B37" s="1" t="s">
        <v>489</v>
      </c>
      <c r="C37" s="1" t="s">
        <v>490</v>
      </c>
      <c r="D37" s="1">
        <v>2014</v>
      </c>
      <c r="E37" s="1">
        <v>8</v>
      </c>
      <c r="F37" s="1">
        <f t="shared" si="5"/>
        <v>2022</v>
      </c>
      <c r="G37" s="1">
        <f>+F37</f>
        <v>2022</v>
      </c>
      <c r="H37" s="1">
        <f t="shared" ref="H37:H42" si="7">+G37-2021</f>
        <v>1</v>
      </c>
      <c r="I37" s="266">
        <v>0</v>
      </c>
      <c r="J37" s="198">
        <f t="shared" ref="J37:J43" si="8">+(I37/I$44*J$44)/$H37</f>
        <v>0</v>
      </c>
      <c r="K37" s="198">
        <f t="shared" si="6"/>
        <v>0</v>
      </c>
      <c r="L37" s="267">
        <v>0.03</v>
      </c>
      <c r="M37" s="288"/>
    </row>
    <row r="38" spans="2:27" x14ac:dyDescent="0.2">
      <c r="B38" s="1" t="s">
        <v>494</v>
      </c>
      <c r="C38" s="1" t="s">
        <v>490</v>
      </c>
      <c r="D38" s="1">
        <v>2014</v>
      </c>
      <c r="E38" s="1">
        <v>5</v>
      </c>
      <c r="F38" s="1">
        <f t="shared" si="5"/>
        <v>2019</v>
      </c>
      <c r="G38" s="260">
        <v>2024</v>
      </c>
      <c r="H38" s="1">
        <f t="shared" si="7"/>
        <v>3</v>
      </c>
      <c r="I38" s="266">
        <v>1</v>
      </c>
      <c r="J38" s="198">
        <f t="shared" si="8"/>
        <v>5.0333333333333334E-2</v>
      </c>
      <c r="K38" s="198">
        <f t="shared" si="6"/>
        <v>0.151</v>
      </c>
      <c r="L38" s="267">
        <v>0.03</v>
      </c>
      <c r="M38" s="296"/>
    </row>
    <row r="39" spans="2:27" x14ac:dyDescent="0.2">
      <c r="B39" s="1" t="s">
        <v>489</v>
      </c>
      <c r="C39" s="1" t="s">
        <v>492</v>
      </c>
      <c r="D39" s="1">
        <v>2017</v>
      </c>
      <c r="E39" s="1">
        <v>10</v>
      </c>
      <c r="F39" s="1">
        <f t="shared" si="5"/>
        <v>2027</v>
      </c>
      <c r="G39" s="260">
        <v>2029</v>
      </c>
      <c r="H39" s="1">
        <f t="shared" si="7"/>
        <v>8</v>
      </c>
      <c r="I39" s="266">
        <v>0.5</v>
      </c>
      <c r="J39" s="198">
        <f t="shared" si="8"/>
        <v>9.4374999999999997E-3</v>
      </c>
      <c r="K39" s="198">
        <f t="shared" si="6"/>
        <v>7.5499999999999998E-2</v>
      </c>
      <c r="L39" s="267">
        <v>0.03</v>
      </c>
      <c r="M39" s="288"/>
    </row>
    <row r="40" spans="2:27" x14ac:dyDescent="0.2">
      <c r="B40" s="1" t="s">
        <v>494</v>
      </c>
      <c r="C40" s="1" t="s">
        <v>492</v>
      </c>
      <c r="D40" s="1">
        <v>2016</v>
      </c>
      <c r="E40" s="1">
        <v>10</v>
      </c>
      <c r="F40" s="1">
        <f t="shared" si="5"/>
        <v>2026</v>
      </c>
      <c r="G40" s="260">
        <v>2031</v>
      </c>
      <c r="H40" s="1">
        <f t="shared" si="7"/>
        <v>10</v>
      </c>
      <c r="I40" s="266">
        <v>1</v>
      </c>
      <c r="J40" s="198">
        <f t="shared" si="8"/>
        <v>1.5099999999999999E-2</v>
      </c>
      <c r="K40" s="198">
        <f t="shared" si="6"/>
        <v>0.151</v>
      </c>
      <c r="L40" s="267">
        <v>0.03</v>
      </c>
      <c r="M40" s="295"/>
    </row>
    <row r="41" spans="2:27" x14ac:dyDescent="0.2">
      <c r="B41" s="1" t="s">
        <v>496</v>
      </c>
      <c r="C41" s="1" t="s">
        <v>492</v>
      </c>
      <c r="D41" s="1">
        <v>2019</v>
      </c>
      <c r="E41" s="1">
        <v>3</v>
      </c>
      <c r="F41" s="1">
        <f>+D41+E41</f>
        <v>2022</v>
      </c>
      <c r="G41" s="1">
        <f>+F41</f>
        <v>2022</v>
      </c>
      <c r="H41" s="1">
        <f>+G41-2021</f>
        <v>1</v>
      </c>
      <c r="I41" s="266">
        <v>0.16666666666666666</v>
      </c>
      <c r="J41" s="198">
        <f t="shared" si="8"/>
        <v>2.5166666666666664E-2</v>
      </c>
      <c r="K41" s="198">
        <f t="shared" si="6"/>
        <v>2.5166666666666664E-2</v>
      </c>
      <c r="L41" s="267">
        <v>0.03</v>
      </c>
      <c r="M41" s="288"/>
    </row>
    <row r="42" spans="2:27" x14ac:dyDescent="0.2">
      <c r="B42" s="1" t="s">
        <v>495</v>
      </c>
      <c r="C42" s="1" t="s">
        <v>492</v>
      </c>
      <c r="D42" s="1">
        <v>2010</v>
      </c>
      <c r="E42" s="1">
        <v>25</v>
      </c>
      <c r="F42" s="1">
        <f t="shared" si="5"/>
        <v>2035</v>
      </c>
      <c r="G42" s="1">
        <f>+F42</f>
        <v>2035</v>
      </c>
      <c r="H42" s="1">
        <f t="shared" si="7"/>
        <v>14</v>
      </c>
      <c r="I42" s="266">
        <v>28</v>
      </c>
      <c r="J42" s="198">
        <f t="shared" si="8"/>
        <v>0.30200000000000005</v>
      </c>
      <c r="K42" s="198">
        <f t="shared" si="6"/>
        <v>4.2280000000000006</v>
      </c>
      <c r="L42" s="267">
        <v>0.03</v>
      </c>
      <c r="M42" s="288"/>
    </row>
    <row r="43" spans="2:27" x14ac:dyDescent="0.2">
      <c r="B43" s="1" t="s">
        <v>497</v>
      </c>
      <c r="C43" s="1" t="s">
        <v>492</v>
      </c>
      <c r="D43" s="1">
        <v>2021</v>
      </c>
      <c r="E43" s="1">
        <v>20</v>
      </c>
      <c r="F43" s="1">
        <f t="shared" si="5"/>
        <v>2041</v>
      </c>
      <c r="G43" s="1">
        <f>+F43</f>
        <v>2041</v>
      </c>
      <c r="H43" s="300">
        <f>+G43-2021-1</f>
        <v>19</v>
      </c>
      <c r="I43" s="299">
        <f>+I44-SUM(I36:I42)</f>
        <v>9.3333333333333428</v>
      </c>
      <c r="J43" s="198">
        <f t="shared" si="8"/>
        <v>7.4175438596491311E-2</v>
      </c>
      <c r="K43" s="198">
        <f t="shared" si="6"/>
        <v>1.4093333333333349</v>
      </c>
      <c r="L43" s="267">
        <v>0.03</v>
      </c>
      <c r="M43" s="288"/>
    </row>
    <row r="44" spans="2:27" x14ac:dyDescent="0.2">
      <c r="H44" s="145">
        <f>+SUMPRODUCT(H57:AA57,H4:AA4)/SUM(H57:AA57)</f>
        <v>9.6208109944486786</v>
      </c>
      <c r="I44" s="260">
        <v>100</v>
      </c>
      <c r="J44" s="208">
        <v>15.1</v>
      </c>
      <c r="K44" s="208">
        <f t="shared" si="6"/>
        <v>15.1</v>
      </c>
      <c r="L44" s="267"/>
      <c r="M44" s="288"/>
    </row>
    <row r="45" spans="2:27" x14ac:dyDescent="0.2">
      <c r="H45" s="145"/>
      <c r="L45" s="267"/>
      <c r="M45" s="288"/>
    </row>
    <row r="46" spans="2:27" x14ac:dyDescent="0.2">
      <c r="F46" s="265">
        <f t="shared" ref="F46:K46" ca="1" si="9">+F55/F6</f>
        <v>40.583864179273178</v>
      </c>
      <c r="G46" s="265">
        <f t="shared" ca="1" si="9"/>
        <v>43.276059216278341</v>
      </c>
      <c r="H46" s="265">
        <f t="shared" ca="1" si="9"/>
        <v>44.174543912336709</v>
      </c>
      <c r="I46" s="265">
        <f t="shared" ca="1" si="9"/>
        <v>44.160154541897931</v>
      </c>
      <c r="J46" s="265">
        <f t="shared" ca="1" si="9"/>
        <v>44.590933179761961</v>
      </c>
      <c r="K46" s="265">
        <f t="shared" ca="1" si="9"/>
        <v>45.025914027440834</v>
      </c>
      <c r="L46" s="265"/>
      <c r="M46" s="288"/>
    </row>
    <row r="47" spans="2:27" x14ac:dyDescent="0.2">
      <c r="B47" s="1" t="s">
        <v>514</v>
      </c>
      <c r="E47" s="11"/>
      <c r="F47" s="265">
        <f ca="1">+South!G86</f>
        <v>52.188087746019704</v>
      </c>
      <c r="G47" s="265">
        <f ca="1">+South!H86</f>
        <v>69.339958032583624</v>
      </c>
      <c r="H47" s="265">
        <f ca="1">+South!I86</f>
        <v>69.083601814004822</v>
      </c>
      <c r="I47" s="265">
        <f ca="1">+South!J86</f>
        <v>69.061726208072571</v>
      </c>
      <c r="J47" s="265">
        <f ca="1">+South!K86</f>
        <v>69.735417608228943</v>
      </c>
      <c r="K47" s="265">
        <f ca="1">+South!L86</f>
        <v>70.415680812010336</v>
      </c>
      <c r="L47" s="265"/>
      <c r="M47" s="66"/>
      <c r="N47" s="265"/>
      <c r="O47" s="265"/>
      <c r="P47" s="265"/>
      <c r="Q47" s="265"/>
      <c r="R47" s="265"/>
      <c r="S47" s="265"/>
      <c r="T47" s="265"/>
      <c r="U47" s="265"/>
      <c r="V47" s="265"/>
      <c r="W47" s="265"/>
      <c r="X47" s="265"/>
      <c r="Y47" s="265"/>
      <c r="Z47" s="265"/>
      <c r="AA47" s="265"/>
    </row>
    <row r="48" spans="2:27" x14ac:dyDescent="0.2">
      <c r="E48" s="11"/>
      <c r="F48" s="265"/>
      <c r="G48" s="265"/>
      <c r="H48" s="265"/>
      <c r="I48" s="265"/>
      <c r="J48" s="265"/>
      <c r="K48" s="265"/>
      <c r="L48" s="265"/>
      <c r="M48" s="66"/>
      <c r="N48" s="265"/>
      <c r="O48" s="265"/>
      <c r="P48" s="265"/>
      <c r="Q48" s="265"/>
      <c r="R48" s="265"/>
      <c r="S48" s="265"/>
      <c r="T48" s="265"/>
      <c r="U48" s="265"/>
      <c r="V48" s="265"/>
      <c r="W48" s="265"/>
      <c r="X48" s="265"/>
      <c r="Y48" s="265"/>
      <c r="Z48" s="265"/>
      <c r="AA48" s="265"/>
    </row>
    <row r="49" spans="2:28" x14ac:dyDescent="0.2">
      <c r="B49" s="1" t="s">
        <v>515</v>
      </c>
      <c r="C49" s="1" t="s">
        <v>490</v>
      </c>
      <c r="E49" s="11">
        <f>+SUM(H49:AA49)</f>
        <v>9060.0000000000055</v>
      </c>
      <c r="F49" s="149">
        <f ca="1">+South!G86*F6</f>
        <v>205.82392283686576</v>
      </c>
      <c r="G49" s="149">
        <f ca="1">+South!H86*G6</f>
        <v>357.67988756730358</v>
      </c>
      <c r="H49" s="265">
        <f t="shared" ref="H49:AA49" si="10">+IF(H$3&lt;$G36,($K36/((1-(1+$L36)^$H36)/(-$L36))*1000)*(1+$L36)^(H$3-2021),0)</f>
        <v>386.94078482045086</v>
      </c>
      <c r="I49" s="265">
        <f t="shared" si="10"/>
        <v>398.54900836506437</v>
      </c>
      <c r="J49" s="265">
        <f t="shared" si="10"/>
        <v>410.50547861601632</v>
      </c>
      <c r="K49" s="265">
        <f t="shared" si="10"/>
        <v>422.82064297449682</v>
      </c>
      <c r="L49" s="265">
        <f t="shared" si="10"/>
        <v>435.50526226373165</v>
      </c>
      <c r="M49" s="66">
        <f t="shared" si="10"/>
        <v>448.57042013164357</v>
      </c>
      <c r="N49" s="265">
        <f t="shared" si="10"/>
        <v>462.02753273559296</v>
      </c>
      <c r="O49" s="265">
        <f t="shared" si="10"/>
        <v>475.88835871766076</v>
      </c>
      <c r="P49" s="265">
        <f t="shared" si="10"/>
        <v>490.16500947919053</v>
      </c>
      <c r="Q49" s="265">
        <f t="shared" si="10"/>
        <v>504.86995976356627</v>
      </c>
      <c r="R49" s="265">
        <f t="shared" si="10"/>
        <v>520.01605855647324</v>
      </c>
      <c r="S49" s="265">
        <f t="shared" si="10"/>
        <v>535.61654031316743</v>
      </c>
      <c r="T49" s="265">
        <f t="shared" si="10"/>
        <v>551.68503652256243</v>
      </c>
      <c r="U49" s="265">
        <f t="shared" si="10"/>
        <v>568.23558761823926</v>
      </c>
      <c r="V49" s="265">
        <f t="shared" si="10"/>
        <v>585.28265524678648</v>
      </c>
      <c r="W49" s="265">
        <f t="shared" si="10"/>
        <v>602.84113490419008</v>
      </c>
      <c r="X49" s="265">
        <f t="shared" si="10"/>
        <v>620.92636895131568</v>
      </c>
      <c r="Y49" s="265">
        <f t="shared" si="10"/>
        <v>639.5541600198552</v>
      </c>
      <c r="Z49" s="265">
        <f t="shared" si="10"/>
        <v>0</v>
      </c>
      <c r="AA49" s="265">
        <f t="shared" si="10"/>
        <v>0</v>
      </c>
    </row>
    <row r="50" spans="2:28" x14ac:dyDescent="0.2">
      <c r="B50" s="1" t="s">
        <v>516</v>
      </c>
      <c r="C50" s="1" t="s">
        <v>490</v>
      </c>
      <c r="E50" s="11">
        <f t="shared" ref="E50:E56" si="11">+SUM(H50:AA50)</f>
        <v>0</v>
      </c>
      <c r="F50" s="301">
        <f t="shared" ref="F50:G54" ca="1" si="12">+F$60*($H50/$H$60)</f>
        <v>0</v>
      </c>
      <c r="G50" s="301">
        <f ca="1">+G$60*($H50/$H$60)</f>
        <v>0</v>
      </c>
      <c r="H50" s="265">
        <f t="shared" ref="H50:AA50" si="13">+IF(H$3&lt;$G37,($K37/((1-(1+$L37)^$H37)/(-$L37))*1000)*(1+$L37)^(H$3-2021),0)</f>
        <v>0</v>
      </c>
      <c r="I50" s="265">
        <f t="shared" si="13"/>
        <v>0</v>
      </c>
      <c r="J50" s="265">
        <f t="shared" si="13"/>
        <v>0</v>
      </c>
      <c r="K50" s="265">
        <f t="shared" si="13"/>
        <v>0</v>
      </c>
      <c r="L50" s="265">
        <f t="shared" si="13"/>
        <v>0</v>
      </c>
      <c r="M50" s="66">
        <f t="shared" si="13"/>
        <v>0</v>
      </c>
      <c r="N50" s="265">
        <f t="shared" si="13"/>
        <v>0</v>
      </c>
      <c r="O50" s="265">
        <f t="shared" si="13"/>
        <v>0</v>
      </c>
      <c r="P50" s="265">
        <f t="shared" si="13"/>
        <v>0</v>
      </c>
      <c r="Q50" s="265">
        <f t="shared" si="13"/>
        <v>0</v>
      </c>
      <c r="R50" s="265">
        <f t="shared" si="13"/>
        <v>0</v>
      </c>
      <c r="S50" s="265">
        <f t="shared" si="13"/>
        <v>0</v>
      </c>
      <c r="T50" s="265">
        <f t="shared" si="13"/>
        <v>0</v>
      </c>
      <c r="U50" s="265">
        <f t="shared" si="13"/>
        <v>0</v>
      </c>
      <c r="V50" s="265">
        <f t="shared" si="13"/>
        <v>0</v>
      </c>
      <c r="W50" s="265">
        <f t="shared" si="13"/>
        <v>0</v>
      </c>
      <c r="X50" s="265">
        <f t="shared" si="13"/>
        <v>0</v>
      </c>
      <c r="Y50" s="265">
        <f t="shared" si="13"/>
        <v>0</v>
      </c>
      <c r="Z50" s="265">
        <f t="shared" si="13"/>
        <v>0</v>
      </c>
      <c r="AA50" s="265">
        <f t="shared" si="13"/>
        <v>0</v>
      </c>
    </row>
    <row r="51" spans="2:28" x14ac:dyDescent="0.2">
      <c r="B51" s="1" t="s">
        <v>517</v>
      </c>
      <c r="C51" s="1" t="s">
        <v>490</v>
      </c>
      <c r="E51" s="11">
        <f t="shared" si="11"/>
        <v>150.99999999999997</v>
      </c>
      <c r="F51" s="301">
        <f t="shared" ca="1" si="12"/>
        <v>188.13173263730943</v>
      </c>
      <c r="G51" s="301">
        <f t="shared" ca="1" si="12"/>
        <v>142.72548933586233</v>
      </c>
      <c r="H51" s="265">
        <f t="shared" ref="H51:AA51" si="14">+IF(H$3&lt;$G38,($K38/((1-(1+$L38)^$H38)/(-$L38))*1000)*(1+$L38)^(H$3-2021),0)</f>
        <v>48.853084862014292</v>
      </c>
      <c r="I51" s="265">
        <f t="shared" si="14"/>
        <v>50.318677407874723</v>
      </c>
      <c r="J51" s="265">
        <f t="shared" si="14"/>
        <v>51.828237730110963</v>
      </c>
      <c r="K51" s="265">
        <f t="shared" si="14"/>
        <v>0</v>
      </c>
      <c r="L51" s="265">
        <f t="shared" si="14"/>
        <v>0</v>
      </c>
      <c r="M51" s="66">
        <f t="shared" si="14"/>
        <v>0</v>
      </c>
      <c r="N51" s="265">
        <f t="shared" si="14"/>
        <v>0</v>
      </c>
      <c r="O51" s="265">
        <f t="shared" si="14"/>
        <v>0</v>
      </c>
      <c r="P51" s="265">
        <f t="shared" si="14"/>
        <v>0</v>
      </c>
      <c r="Q51" s="265">
        <f t="shared" si="14"/>
        <v>0</v>
      </c>
      <c r="R51" s="265">
        <f t="shared" si="14"/>
        <v>0</v>
      </c>
      <c r="S51" s="265">
        <f t="shared" si="14"/>
        <v>0</v>
      </c>
      <c r="T51" s="265">
        <f t="shared" si="14"/>
        <v>0</v>
      </c>
      <c r="U51" s="265">
        <f t="shared" si="14"/>
        <v>0</v>
      </c>
      <c r="V51" s="265">
        <f t="shared" si="14"/>
        <v>0</v>
      </c>
      <c r="W51" s="265">
        <f t="shared" si="14"/>
        <v>0</v>
      </c>
      <c r="X51" s="265">
        <f t="shared" si="14"/>
        <v>0</v>
      </c>
      <c r="Y51" s="265">
        <f t="shared" si="14"/>
        <v>0</v>
      </c>
      <c r="Z51" s="265">
        <f t="shared" si="14"/>
        <v>0</v>
      </c>
      <c r="AA51" s="265">
        <f t="shared" si="14"/>
        <v>0</v>
      </c>
    </row>
    <row r="52" spans="2:28" x14ac:dyDescent="0.2">
      <c r="B52" s="1" t="s">
        <v>518</v>
      </c>
      <c r="C52" s="1" t="s">
        <v>492</v>
      </c>
      <c r="E52" s="11">
        <f t="shared" si="11"/>
        <v>75.500000000000028</v>
      </c>
      <c r="F52" s="301">
        <f t="shared" ca="1" si="12"/>
        <v>32.696491078608688</v>
      </c>
      <c r="G52" s="301">
        <f t="shared" ca="1" si="12"/>
        <v>24.805080053967558</v>
      </c>
      <c r="H52" s="265">
        <f t="shared" ref="H52:AA52" si="15">+IF(H$3&lt;$G39,($K39/((1-(1+$L39)^$H39)/(-$L39))*1000)*(1+$L39)^(H$3-2021),0)</f>
        <v>8.4904573564565631</v>
      </c>
      <c r="I52" s="265">
        <f t="shared" si="15"/>
        <v>8.7451710771502604</v>
      </c>
      <c r="J52" s="265">
        <f t="shared" si="15"/>
        <v>9.0075262094647677</v>
      </c>
      <c r="K52" s="265">
        <f t="shared" si="15"/>
        <v>9.2777519957487105</v>
      </c>
      <c r="L52" s="265">
        <f t="shared" si="15"/>
        <v>9.5560845556211707</v>
      </c>
      <c r="M52" s="66">
        <f t="shared" si="15"/>
        <v>9.8427670922898063</v>
      </c>
      <c r="N52" s="265">
        <f t="shared" si="15"/>
        <v>10.1380501050585</v>
      </c>
      <c r="O52" s="265">
        <f t="shared" si="15"/>
        <v>10.442191608210257</v>
      </c>
      <c r="P52" s="265">
        <f t="shared" si="15"/>
        <v>0</v>
      </c>
      <c r="Q52" s="265">
        <f t="shared" si="15"/>
        <v>0</v>
      </c>
      <c r="R52" s="265">
        <f t="shared" si="15"/>
        <v>0</v>
      </c>
      <c r="S52" s="265">
        <f t="shared" si="15"/>
        <v>0</v>
      </c>
      <c r="T52" s="265">
        <f t="shared" si="15"/>
        <v>0</v>
      </c>
      <c r="U52" s="265">
        <f t="shared" si="15"/>
        <v>0</v>
      </c>
      <c r="V52" s="265">
        <f t="shared" si="15"/>
        <v>0</v>
      </c>
      <c r="W52" s="265">
        <f t="shared" si="15"/>
        <v>0</v>
      </c>
      <c r="X52" s="265">
        <f t="shared" si="15"/>
        <v>0</v>
      </c>
      <c r="Y52" s="265">
        <f t="shared" si="15"/>
        <v>0</v>
      </c>
      <c r="Z52" s="265">
        <f t="shared" si="15"/>
        <v>0</v>
      </c>
      <c r="AA52" s="265">
        <f t="shared" si="15"/>
        <v>0</v>
      </c>
    </row>
    <row r="53" spans="2:28" x14ac:dyDescent="0.2">
      <c r="B53" s="1" t="s">
        <v>519</v>
      </c>
      <c r="C53" s="1" t="s">
        <v>492</v>
      </c>
      <c r="E53" s="11">
        <f t="shared" si="11"/>
        <v>151.00000000000006</v>
      </c>
      <c r="F53" s="301">
        <f t="shared" ca="1" si="12"/>
        <v>50.724223154269964</v>
      </c>
      <c r="G53" s="301">
        <f t="shared" ca="1" si="12"/>
        <v>38.481756742397252</v>
      </c>
      <c r="H53" s="265">
        <f t="shared" ref="H53:AA53" si="16">+IF(H$3&lt;$G40,($K40/((1-(1+$L40)^$H40)/(-$L40))*1000)*(1+$L40)^(H$3-2021),0)</f>
        <v>13.171806497379103</v>
      </c>
      <c r="I53" s="265">
        <f t="shared" si="16"/>
        <v>13.566960692300476</v>
      </c>
      <c r="J53" s="265">
        <f t="shared" si="16"/>
        <v>13.973969513069489</v>
      </c>
      <c r="K53" s="265">
        <f t="shared" si="16"/>
        <v>14.393188598461576</v>
      </c>
      <c r="L53" s="265">
        <f t="shared" si="16"/>
        <v>14.824984256415421</v>
      </c>
      <c r="M53" s="66">
        <f t="shared" si="16"/>
        <v>15.269733784107883</v>
      </c>
      <c r="N53" s="265">
        <f t="shared" si="16"/>
        <v>15.727825797631121</v>
      </c>
      <c r="O53" s="265">
        <f t="shared" si="16"/>
        <v>16.199660571560056</v>
      </c>
      <c r="P53" s="265">
        <f t="shared" si="16"/>
        <v>16.685650388706854</v>
      </c>
      <c r="Q53" s="265">
        <f t="shared" si="16"/>
        <v>17.186219900368062</v>
      </c>
      <c r="R53" s="265">
        <f t="shared" si="16"/>
        <v>0</v>
      </c>
      <c r="S53" s="265">
        <f t="shared" si="16"/>
        <v>0</v>
      </c>
      <c r="T53" s="265">
        <f t="shared" si="16"/>
        <v>0</v>
      </c>
      <c r="U53" s="265">
        <f t="shared" si="16"/>
        <v>0</v>
      </c>
      <c r="V53" s="265">
        <f t="shared" si="16"/>
        <v>0</v>
      </c>
      <c r="W53" s="265">
        <f t="shared" si="16"/>
        <v>0</v>
      </c>
      <c r="X53" s="265">
        <f t="shared" si="16"/>
        <v>0</v>
      </c>
      <c r="Y53" s="265">
        <f t="shared" si="16"/>
        <v>0</v>
      </c>
      <c r="Z53" s="265">
        <f t="shared" si="16"/>
        <v>0</v>
      </c>
      <c r="AA53" s="265">
        <f t="shared" si="16"/>
        <v>0</v>
      </c>
    </row>
    <row r="54" spans="2:28" x14ac:dyDescent="0.2">
      <c r="B54" s="1" t="s">
        <v>504</v>
      </c>
      <c r="C54" s="1" t="s">
        <v>492</v>
      </c>
      <c r="E54" s="11">
        <f t="shared" si="11"/>
        <v>25.166666666666643</v>
      </c>
      <c r="F54" s="301">
        <f t="shared" ca="1" si="12"/>
        <v>96.916062068109881</v>
      </c>
      <c r="G54" s="301">
        <f t="shared" ca="1" si="12"/>
        <v>73.525035831369422</v>
      </c>
      <c r="H54" s="265">
        <f t="shared" ref="H54:AA54" si="17">+IF(H$3&lt;$G41,($K41/((1-(1+$L41)^$H41)/(-$L41))*1000)*(1+$L41)^(H$3-2021),0)</f>
        <v>25.166666666666643</v>
      </c>
      <c r="I54" s="265">
        <f t="shared" si="17"/>
        <v>0</v>
      </c>
      <c r="J54" s="265">
        <f t="shared" si="17"/>
        <v>0</v>
      </c>
      <c r="K54" s="265">
        <f t="shared" si="17"/>
        <v>0</v>
      </c>
      <c r="L54" s="265">
        <f t="shared" si="17"/>
        <v>0</v>
      </c>
      <c r="M54" s="66">
        <f t="shared" si="17"/>
        <v>0</v>
      </c>
      <c r="N54" s="265">
        <f t="shared" si="17"/>
        <v>0</v>
      </c>
      <c r="O54" s="265">
        <f t="shared" si="17"/>
        <v>0</v>
      </c>
      <c r="P54" s="265">
        <f t="shared" si="17"/>
        <v>0</v>
      </c>
      <c r="Q54" s="265">
        <f t="shared" si="17"/>
        <v>0</v>
      </c>
      <c r="R54" s="265">
        <f t="shared" si="17"/>
        <v>0</v>
      </c>
      <c r="S54" s="265">
        <f t="shared" si="17"/>
        <v>0</v>
      </c>
      <c r="T54" s="265">
        <f t="shared" si="17"/>
        <v>0</v>
      </c>
      <c r="U54" s="265">
        <f t="shared" si="17"/>
        <v>0</v>
      </c>
      <c r="V54" s="265">
        <f t="shared" si="17"/>
        <v>0</v>
      </c>
      <c r="W54" s="265">
        <f t="shared" si="17"/>
        <v>0</v>
      </c>
      <c r="X54" s="265">
        <f t="shared" si="17"/>
        <v>0</v>
      </c>
      <c r="Y54" s="265">
        <f t="shared" si="17"/>
        <v>0</v>
      </c>
      <c r="Z54" s="265">
        <f t="shared" si="17"/>
        <v>0</v>
      </c>
      <c r="AA54" s="265">
        <f t="shared" si="17"/>
        <v>0</v>
      </c>
    </row>
    <row r="55" spans="2:28" x14ac:dyDescent="0.2">
      <c r="B55" s="1" t="s">
        <v>520</v>
      </c>
      <c r="C55" s="1" t="s">
        <v>8</v>
      </c>
      <c r="E55" s="11">
        <f t="shared" si="11"/>
        <v>4228.0000000000027</v>
      </c>
      <c r="F55" s="149">
        <f ca="1">+'Costal Nav'!G48*F6</f>
        <v>160.05817591761908</v>
      </c>
      <c r="G55" s="149">
        <f ca="1">+'Costal Nav'!H48*G6</f>
        <v>223.23313186259307</v>
      </c>
      <c r="H55" s="265">
        <f t="shared" ref="H55:AA55" si="18">+IF(H$3&lt;$G42,($K42/((1-(1+$L42)^$H42)/(-$L42))*1000)*(1+$L42)^(H$3-2021),0)</f>
        <v>247.44936125251576</v>
      </c>
      <c r="I55" s="265">
        <f t="shared" si="18"/>
        <v>254.87284209009124</v>
      </c>
      <c r="J55" s="265">
        <f t="shared" si="18"/>
        <v>262.51902735279396</v>
      </c>
      <c r="K55" s="265">
        <f t="shared" si="18"/>
        <v>270.3945981733778</v>
      </c>
      <c r="L55" s="265">
        <f t="shared" si="18"/>
        <v>278.50643611857907</v>
      </c>
      <c r="M55" s="66">
        <f t="shared" si="18"/>
        <v>286.86162920213644</v>
      </c>
      <c r="N55" s="265">
        <f t="shared" si="18"/>
        <v>295.46747807820054</v>
      </c>
      <c r="O55" s="265">
        <f t="shared" si="18"/>
        <v>304.3315024205466</v>
      </c>
      <c r="P55" s="265">
        <f t="shared" si="18"/>
        <v>313.46144749316295</v>
      </c>
      <c r="Q55" s="265">
        <f t="shared" si="18"/>
        <v>322.86529091795785</v>
      </c>
      <c r="R55" s="265">
        <f t="shared" si="18"/>
        <v>332.55124964549657</v>
      </c>
      <c r="S55" s="265">
        <f t="shared" si="18"/>
        <v>342.52778713486151</v>
      </c>
      <c r="T55" s="265">
        <f t="shared" si="18"/>
        <v>352.80362074890729</v>
      </c>
      <c r="U55" s="265">
        <f t="shared" si="18"/>
        <v>363.38772937137452</v>
      </c>
      <c r="V55" s="265">
        <f t="shared" si="18"/>
        <v>0</v>
      </c>
      <c r="W55" s="265">
        <f t="shared" si="18"/>
        <v>0</v>
      </c>
      <c r="X55" s="265">
        <f t="shared" si="18"/>
        <v>0</v>
      </c>
      <c r="Y55" s="265">
        <f t="shared" si="18"/>
        <v>0</v>
      </c>
      <c r="Z55" s="265">
        <f t="shared" si="18"/>
        <v>0</v>
      </c>
      <c r="AA55" s="265">
        <f t="shared" si="18"/>
        <v>0</v>
      </c>
    </row>
    <row r="56" spans="2:28" x14ac:dyDescent="0.2">
      <c r="B56" s="1" t="s">
        <v>505</v>
      </c>
      <c r="C56" s="1" t="s">
        <v>225</v>
      </c>
      <c r="E56" s="11">
        <f t="shared" si="11"/>
        <v>1409.3333333333358</v>
      </c>
      <c r="I56" s="265">
        <f>+IF(H$3&lt;$G43,($K43/((1-(1+$L43)^$H43)/(-$L43))*1000)*(1+$L43)^(H$3-2021),0)</f>
        <v>56.111029005461582</v>
      </c>
      <c r="J56" s="265">
        <f t="shared" ref="J56:AA56" si="19">+IF(I$3&lt;$G43,($K43/((1-(1+$L43)^$H43)/(-$L43))*1000)*(1+$L43)^(I$3-2021),0)</f>
        <v>57.794359875625432</v>
      </c>
      <c r="K56" s="265">
        <f t="shared" si="19"/>
        <v>59.528190671894187</v>
      </c>
      <c r="L56" s="265">
        <f t="shared" si="19"/>
        <v>61.314036392051015</v>
      </c>
      <c r="M56" s="66">
        <f t="shared" si="19"/>
        <v>63.153457483812545</v>
      </c>
      <c r="N56" s="265">
        <f t="shared" si="19"/>
        <v>65.048061208326914</v>
      </c>
      <c r="O56" s="265">
        <f t="shared" si="19"/>
        <v>66.999503044576727</v>
      </c>
      <c r="P56" s="265">
        <f t="shared" si="19"/>
        <v>69.00948813591404</v>
      </c>
      <c r="Q56" s="265">
        <f t="shared" si="19"/>
        <v>71.079772779991444</v>
      </c>
      <c r="R56" s="265">
        <f t="shared" si="19"/>
        <v>73.212165963391186</v>
      </c>
      <c r="S56" s="265">
        <f t="shared" si="19"/>
        <v>75.408530942292927</v>
      </c>
      <c r="T56" s="265">
        <f t="shared" si="19"/>
        <v>77.670786870561713</v>
      </c>
      <c r="U56" s="265">
        <f t="shared" si="19"/>
        <v>80.000910476678555</v>
      </c>
      <c r="V56" s="265">
        <f t="shared" si="19"/>
        <v>82.400937790978915</v>
      </c>
      <c r="W56" s="265">
        <f t="shared" si="19"/>
        <v>84.872965924708282</v>
      </c>
      <c r="X56" s="265">
        <f t="shared" si="19"/>
        <v>87.419154902449534</v>
      </c>
      <c r="Y56" s="265">
        <f t="shared" si="19"/>
        <v>90.041729549523012</v>
      </c>
      <c r="Z56" s="265">
        <f t="shared" si="19"/>
        <v>92.742981436008705</v>
      </c>
      <c r="AA56" s="265">
        <f t="shared" si="19"/>
        <v>95.525270879088964</v>
      </c>
      <c r="AB56" s="265"/>
    </row>
    <row r="57" spans="2:28" s="2" customFormat="1" x14ac:dyDescent="0.2">
      <c r="B57" s="2" t="s">
        <v>222</v>
      </c>
      <c r="E57" s="13">
        <f>+SUM(H57:AA57)</f>
        <v>15100.000000000007</v>
      </c>
      <c r="F57" s="268">
        <f>+F26*F24</f>
        <v>734.35060769278277</v>
      </c>
      <c r="G57" s="268">
        <f t="shared" ref="G57" si="20">+G26*G24</f>
        <v>860.4503813934931</v>
      </c>
      <c r="H57" s="293">
        <f t="shared" ref="H57:AA57" si="21">+SUM(H49:H56)</f>
        <v>730.07216145548318</v>
      </c>
      <c r="I57" s="268">
        <f t="shared" si="21"/>
        <v>782.16368863794253</v>
      </c>
      <c r="J57" s="268">
        <f t="shared" si="21"/>
        <v>805.628599297081</v>
      </c>
      <c r="K57" s="268">
        <f t="shared" si="21"/>
        <v>776.41437241397909</v>
      </c>
      <c r="L57" s="268">
        <f t="shared" si="21"/>
        <v>799.70680358639822</v>
      </c>
      <c r="M57" s="297">
        <f t="shared" si="21"/>
        <v>823.69800769399023</v>
      </c>
      <c r="N57" s="268">
        <f t="shared" si="21"/>
        <v>848.40894792480992</v>
      </c>
      <c r="O57" s="268">
        <f t="shared" si="21"/>
        <v>873.86121636255439</v>
      </c>
      <c r="P57" s="268">
        <f t="shared" si="21"/>
        <v>889.32159549697428</v>
      </c>
      <c r="Q57" s="268">
        <f t="shared" si="21"/>
        <v>916.00124336188367</v>
      </c>
      <c r="R57" s="268">
        <f t="shared" si="21"/>
        <v>925.77947416536097</v>
      </c>
      <c r="S57" s="268">
        <f t="shared" si="21"/>
        <v>953.55285839032183</v>
      </c>
      <c r="T57" s="268">
        <f t="shared" si="21"/>
        <v>982.15944414203148</v>
      </c>
      <c r="U57" s="268">
        <f t="shared" si="21"/>
        <v>1011.6242274662924</v>
      </c>
      <c r="V57" s="268">
        <f t="shared" si="21"/>
        <v>667.68359303776538</v>
      </c>
      <c r="W57" s="268">
        <f t="shared" si="21"/>
        <v>687.71410082889838</v>
      </c>
      <c r="X57" s="268">
        <f t="shared" si="21"/>
        <v>708.34552385376526</v>
      </c>
      <c r="Y57" s="268">
        <f t="shared" si="21"/>
        <v>729.59588956937819</v>
      </c>
      <c r="Z57" s="268">
        <f t="shared" si="21"/>
        <v>92.742981436008705</v>
      </c>
      <c r="AA57" s="268">
        <f t="shared" si="21"/>
        <v>95.525270879088964</v>
      </c>
    </row>
    <row r="58" spans="2:28" s="25" customFormat="1" x14ac:dyDescent="0.2">
      <c r="B58" s="25" t="s">
        <v>305</v>
      </c>
      <c r="F58" s="70">
        <f t="shared" ref="F58:M58" si="22">+F57/F24</f>
        <v>0.79800000000000004</v>
      </c>
      <c r="G58" s="70">
        <f t="shared" si="22"/>
        <v>0.68799999999999994</v>
      </c>
      <c r="H58" s="70">
        <f t="shared" ca="1" si="22"/>
        <v>0.49209774119392646</v>
      </c>
      <c r="I58" s="70">
        <f t="shared" ca="1" si="22"/>
        <v>0.46819552867535624</v>
      </c>
      <c r="J58" s="70">
        <f t="shared" ca="1" si="22"/>
        <v>0.44435232113327838</v>
      </c>
      <c r="K58" s="70">
        <f t="shared" ca="1" si="22"/>
        <v>0.39400552214997436</v>
      </c>
      <c r="L58" s="70">
        <f t="shared" ca="1" si="22"/>
        <v>0.3728502215474343</v>
      </c>
      <c r="M58" s="298">
        <f t="shared" ca="1" si="22"/>
        <v>0.35344884518709491</v>
      </c>
      <c r="N58" s="70"/>
      <c r="O58" s="70"/>
      <c r="P58" s="70"/>
      <c r="Q58" s="70"/>
      <c r="R58" s="70"/>
      <c r="S58" s="70"/>
      <c r="T58" s="70"/>
      <c r="U58" s="70"/>
      <c r="V58" s="70"/>
      <c r="W58" s="70"/>
      <c r="X58" s="70"/>
      <c r="Y58" s="70"/>
      <c r="Z58" s="70"/>
      <c r="AA58" s="70"/>
    </row>
    <row r="59" spans="2:28" x14ac:dyDescent="0.2">
      <c r="M59" s="288"/>
    </row>
    <row r="60" spans="2:28" x14ac:dyDescent="0.2">
      <c r="F60" s="11">
        <f ca="1">+F57-F55-F49</f>
        <v>368.46850893829787</v>
      </c>
      <c r="G60" s="11">
        <f t="shared" ref="G60:H60" ca="1" si="23">+G57-G55-G49</f>
        <v>279.53736196359648</v>
      </c>
      <c r="H60" s="11">
        <f t="shared" si="23"/>
        <v>95.682015382516568</v>
      </c>
      <c r="M60" s="288"/>
    </row>
    <row r="61" spans="2:28" x14ac:dyDescent="0.2">
      <c r="M61" s="288"/>
    </row>
    <row r="62" spans="2:28" x14ac:dyDescent="0.2">
      <c r="B62" s="1" t="s">
        <v>492</v>
      </c>
      <c r="F62" s="11">
        <f t="shared" ref="F62" ca="1" si="24">+SUM(F52:F54)</f>
        <v>180.33677630098853</v>
      </c>
      <c r="G62" s="11">
        <f t="shared" ref="G62" ca="1" si="25">+SUM(G52:G54)</f>
        <v>136.81187262773423</v>
      </c>
      <c r="H62" s="11">
        <f t="shared" ref="H62:AA62" si="26">+SUM(H52:H54)</f>
        <v>46.828930520502311</v>
      </c>
      <c r="I62" s="11">
        <f t="shared" si="26"/>
        <v>22.312131769450737</v>
      </c>
      <c r="J62" s="11">
        <f t="shared" si="26"/>
        <v>22.981495722534255</v>
      </c>
      <c r="K62" s="11">
        <f t="shared" si="26"/>
        <v>23.670940594210286</v>
      </c>
      <c r="L62" s="11">
        <f t="shared" si="26"/>
        <v>24.381068812036592</v>
      </c>
      <c r="M62" s="296">
        <f t="shared" si="26"/>
        <v>25.112500876397689</v>
      </c>
      <c r="N62" s="11">
        <f t="shared" si="26"/>
        <v>25.865875902689623</v>
      </c>
      <c r="O62" s="11">
        <f t="shared" si="26"/>
        <v>26.641852179770311</v>
      </c>
      <c r="P62" s="11">
        <f t="shared" si="26"/>
        <v>16.685650388706854</v>
      </c>
      <c r="Q62" s="11">
        <f t="shared" si="26"/>
        <v>17.186219900368062</v>
      </c>
      <c r="R62" s="11">
        <f t="shared" si="26"/>
        <v>0</v>
      </c>
      <c r="S62" s="11">
        <f t="shared" si="26"/>
        <v>0</v>
      </c>
      <c r="T62" s="11">
        <f t="shared" si="26"/>
        <v>0</v>
      </c>
      <c r="U62" s="11">
        <f t="shared" si="26"/>
        <v>0</v>
      </c>
      <c r="V62" s="11">
        <f t="shared" si="26"/>
        <v>0</v>
      </c>
      <c r="W62" s="11">
        <f t="shared" si="26"/>
        <v>0</v>
      </c>
      <c r="X62" s="11">
        <f t="shared" si="26"/>
        <v>0</v>
      </c>
      <c r="Y62" s="11">
        <f t="shared" si="26"/>
        <v>0</v>
      </c>
      <c r="Z62" s="11">
        <f t="shared" si="26"/>
        <v>0</v>
      </c>
      <c r="AA62" s="11">
        <f t="shared" si="26"/>
        <v>0</v>
      </c>
      <c r="AB62" s="11"/>
    </row>
    <row r="63" spans="2:28" x14ac:dyDescent="0.2">
      <c r="B63" s="1" t="s">
        <v>490</v>
      </c>
      <c r="F63" s="11">
        <f t="shared" ref="F63" ca="1" si="27">+SUM(F49:F51)</f>
        <v>393.95565547417516</v>
      </c>
      <c r="G63" s="11">
        <f t="shared" ref="G63" ca="1" si="28">+SUM(G49:G51)</f>
        <v>500.40537690316592</v>
      </c>
      <c r="H63" s="11">
        <f t="shared" ref="H63:AA63" si="29">+SUM(H49:H51)</f>
        <v>435.79386968246513</v>
      </c>
      <c r="I63" s="11">
        <f t="shared" si="29"/>
        <v>448.86768577293907</v>
      </c>
      <c r="J63" s="11">
        <f t="shared" si="29"/>
        <v>462.33371634612729</v>
      </c>
      <c r="K63" s="11">
        <f t="shared" si="29"/>
        <v>422.82064297449682</v>
      </c>
      <c r="L63" s="11">
        <f t="shared" si="29"/>
        <v>435.50526226373165</v>
      </c>
      <c r="M63" s="296">
        <f t="shared" si="29"/>
        <v>448.57042013164357</v>
      </c>
      <c r="N63" s="11">
        <f t="shared" si="29"/>
        <v>462.02753273559296</v>
      </c>
      <c r="O63" s="11">
        <f t="shared" si="29"/>
        <v>475.88835871766076</v>
      </c>
      <c r="P63" s="11">
        <f t="shared" si="29"/>
        <v>490.16500947919053</v>
      </c>
      <c r="Q63" s="11">
        <f t="shared" si="29"/>
        <v>504.86995976356627</v>
      </c>
      <c r="R63" s="11">
        <f t="shared" si="29"/>
        <v>520.01605855647324</v>
      </c>
      <c r="S63" s="11">
        <f t="shared" si="29"/>
        <v>535.61654031316743</v>
      </c>
      <c r="T63" s="11">
        <f t="shared" si="29"/>
        <v>551.68503652256243</v>
      </c>
      <c r="U63" s="11">
        <f t="shared" si="29"/>
        <v>568.23558761823926</v>
      </c>
      <c r="V63" s="11">
        <f t="shared" si="29"/>
        <v>585.28265524678648</v>
      </c>
      <c r="W63" s="11">
        <f t="shared" si="29"/>
        <v>602.84113490419008</v>
      </c>
      <c r="X63" s="11">
        <f t="shared" si="29"/>
        <v>620.92636895131568</v>
      </c>
      <c r="Y63" s="11">
        <f t="shared" si="29"/>
        <v>639.5541600198552</v>
      </c>
      <c r="Z63" s="11">
        <f t="shared" si="29"/>
        <v>0</v>
      </c>
      <c r="AA63" s="11">
        <f t="shared" si="29"/>
        <v>0</v>
      </c>
      <c r="AB63" s="11"/>
    </row>
    <row r="64" spans="2:28" x14ac:dyDescent="0.2">
      <c r="B64" s="1" t="s">
        <v>8</v>
      </c>
      <c r="F64" s="11">
        <f t="shared" ref="F64" ca="1" si="30">+F55</f>
        <v>160.05817591761908</v>
      </c>
      <c r="G64" s="11">
        <f t="shared" ref="G64" ca="1" si="31">+G55</f>
        <v>223.23313186259307</v>
      </c>
      <c r="H64" s="11">
        <f t="shared" ref="H64:AA64" si="32">+H55</f>
        <v>247.44936125251576</v>
      </c>
      <c r="I64" s="11">
        <f t="shared" si="32"/>
        <v>254.87284209009124</v>
      </c>
      <c r="J64" s="11">
        <f t="shared" si="32"/>
        <v>262.51902735279396</v>
      </c>
      <c r="K64" s="11">
        <f t="shared" si="32"/>
        <v>270.3945981733778</v>
      </c>
      <c r="L64" s="11">
        <f t="shared" si="32"/>
        <v>278.50643611857907</v>
      </c>
      <c r="M64" s="296">
        <f t="shared" si="32"/>
        <v>286.86162920213644</v>
      </c>
      <c r="N64" s="11">
        <f t="shared" si="32"/>
        <v>295.46747807820054</v>
      </c>
      <c r="O64" s="11">
        <f t="shared" si="32"/>
        <v>304.3315024205466</v>
      </c>
      <c r="P64" s="11">
        <f t="shared" si="32"/>
        <v>313.46144749316295</v>
      </c>
      <c r="Q64" s="11">
        <f t="shared" si="32"/>
        <v>322.86529091795785</v>
      </c>
      <c r="R64" s="11">
        <f t="shared" si="32"/>
        <v>332.55124964549657</v>
      </c>
      <c r="S64" s="11">
        <f t="shared" si="32"/>
        <v>342.52778713486151</v>
      </c>
      <c r="T64" s="11">
        <f t="shared" si="32"/>
        <v>352.80362074890729</v>
      </c>
      <c r="U64" s="11">
        <f t="shared" si="32"/>
        <v>363.38772937137452</v>
      </c>
      <c r="V64" s="11">
        <f t="shared" si="32"/>
        <v>0</v>
      </c>
      <c r="W64" s="11">
        <f t="shared" si="32"/>
        <v>0</v>
      </c>
      <c r="X64" s="11">
        <f t="shared" si="32"/>
        <v>0</v>
      </c>
      <c r="Y64" s="11">
        <f t="shared" si="32"/>
        <v>0</v>
      </c>
      <c r="Z64" s="11">
        <f t="shared" si="32"/>
        <v>0</v>
      </c>
      <c r="AA64" s="11">
        <f t="shared" si="32"/>
        <v>0</v>
      </c>
      <c r="AB64" s="11"/>
    </row>
    <row r="65" spans="2:28" x14ac:dyDescent="0.2">
      <c r="B65" s="1" t="s">
        <v>225</v>
      </c>
      <c r="F65" s="11">
        <f t="shared" ref="F65" si="33">+F56</f>
        <v>0</v>
      </c>
      <c r="G65" s="11">
        <f t="shared" ref="G65" si="34">+G56</f>
        <v>0</v>
      </c>
      <c r="H65" s="11">
        <f t="shared" ref="H65:AA65" si="35">+H56</f>
        <v>0</v>
      </c>
      <c r="I65" s="11">
        <f t="shared" si="35"/>
        <v>56.111029005461582</v>
      </c>
      <c r="J65" s="11">
        <f t="shared" si="35"/>
        <v>57.794359875625432</v>
      </c>
      <c r="K65" s="11">
        <f t="shared" si="35"/>
        <v>59.528190671894187</v>
      </c>
      <c r="L65" s="11">
        <f t="shared" si="35"/>
        <v>61.314036392051015</v>
      </c>
      <c r="M65" s="296">
        <f t="shared" si="35"/>
        <v>63.153457483812545</v>
      </c>
      <c r="N65" s="11">
        <f t="shared" si="35"/>
        <v>65.048061208326914</v>
      </c>
      <c r="O65" s="11">
        <f t="shared" si="35"/>
        <v>66.999503044576727</v>
      </c>
      <c r="P65" s="11">
        <f t="shared" si="35"/>
        <v>69.00948813591404</v>
      </c>
      <c r="Q65" s="11">
        <f t="shared" si="35"/>
        <v>71.079772779991444</v>
      </c>
      <c r="R65" s="11">
        <f t="shared" si="35"/>
        <v>73.212165963391186</v>
      </c>
      <c r="S65" s="11">
        <f t="shared" si="35"/>
        <v>75.408530942292927</v>
      </c>
      <c r="T65" s="11">
        <f t="shared" si="35"/>
        <v>77.670786870561713</v>
      </c>
      <c r="U65" s="11">
        <f t="shared" si="35"/>
        <v>80.000910476678555</v>
      </c>
      <c r="V65" s="11">
        <f t="shared" si="35"/>
        <v>82.400937790978915</v>
      </c>
      <c r="W65" s="11">
        <f t="shared" si="35"/>
        <v>84.872965924708282</v>
      </c>
      <c r="X65" s="11">
        <f t="shared" si="35"/>
        <v>87.419154902449534</v>
      </c>
      <c r="Y65" s="11">
        <f t="shared" si="35"/>
        <v>90.041729549523012</v>
      </c>
      <c r="Z65" s="11">
        <f t="shared" si="35"/>
        <v>92.742981436008705</v>
      </c>
      <c r="AA65" s="11">
        <f t="shared" si="35"/>
        <v>95.525270879088964</v>
      </c>
      <c r="AB65" s="11"/>
    </row>
    <row r="66" spans="2:28" x14ac:dyDescent="0.2">
      <c r="M66" s="288"/>
    </row>
    <row r="67" spans="2:28" x14ac:dyDescent="0.2">
      <c r="B67" s="1" t="str">
        <f>+B62</f>
        <v>North</v>
      </c>
      <c r="F67" s="11">
        <f t="shared" ref="F67:U70" ca="1" si="36">+F62/F$6</f>
        <v>45.725644403783591</v>
      </c>
      <c r="G67" s="11">
        <f t="shared" ca="1" si="36"/>
        <v>26.522401275864905</v>
      </c>
      <c r="H67" s="11">
        <f t="shared" ca="1" si="36"/>
        <v>8.3598787128599348</v>
      </c>
      <c r="I67" s="11">
        <f t="shared" ca="1" si="36"/>
        <v>3.865877505889205</v>
      </c>
      <c r="J67" s="11">
        <f t="shared" ca="1" si="36"/>
        <v>3.903588819706191</v>
      </c>
      <c r="K67" s="11">
        <f t="shared" ca="1" si="36"/>
        <v>3.9416680042556687</v>
      </c>
      <c r="L67" s="11">
        <f t="shared" ca="1" si="36"/>
        <v>3.9801186480860582</v>
      </c>
      <c r="M67" s="296">
        <f t="shared" ca="1" si="36"/>
        <v>4.0189443747517801</v>
      </c>
      <c r="N67" s="11">
        <f t="shared" ca="1" si="36"/>
        <v>4.0599066924175196</v>
      </c>
      <c r="O67" s="11">
        <f t="shared" ca="1" si="36"/>
        <v>4.1012865106286984</v>
      </c>
      <c r="P67" s="11">
        <f t="shared" ca="1" si="36"/>
        <v>2.5192175167476947</v>
      </c>
      <c r="Q67" s="11">
        <f t="shared" ca="1" si="36"/>
        <v>2.5448941568222394</v>
      </c>
      <c r="R67" s="11">
        <f t="shared" ca="1" si="36"/>
        <v>0</v>
      </c>
      <c r="S67" s="11">
        <f t="shared" ca="1" si="36"/>
        <v>0</v>
      </c>
      <c r="T67" s="11">
        <f t="shared" ca="1" si="36"/>
        <v>0</v>
      </c>
      <c r="U67" s="11">
        <f t="shared" ca="1" si="36"/>
        <v>0</v>
      </c>
      <c r="V67" s="11">
        <f t="shared" ref="V67:AA67" ca="1" si="37">+V62/V$6</f>
        <v>0</v>
      </c>
      <c r="W67" s="11">
        <f t="shared" ca="1" si="37"/>
        <v>0</v>
      </c>
      <c r="X67" s="11">
        <f t="shared" ca="1" si="37"/>
        <v>0</v>
      </c>
      <c r="Y67" s="11">
        <f t="shared" ca="1" si="37"/>
        <v>0</v>
      </c>
      <c r="Z67" s="11">
        <f t="shared" ca="1" si="37"/>
        <v>0</v>
      </c>
      <c r="AA67" s="11">
        <f t="shared" ca="1" si="37"/>
        <v>0</v>
      </c>
    </row>
    <row r="68" spans="2:28" x14ac:dyDescent="0.2">
      <c r="B68" s="1" t="s">
        <v>490</v>
      </c>
      <c r="F68" s="11">
        <f t="shared" ca="1" si="36"/>
        <v>99.89019756572452</v>
      </c>
      <c r="G68" s="11">
        <f t="shared" ref="G68" ca="1" si="38">+G63/G$6</f>
        <v>97.00877527595307</v>
      </c>
      <c r="H68" s="11">
        <f t="shared" ref="H68:AA68" ca="1" si="39">+H63/H$6</f>
        <v>77.797717220090334</v>
      </c>
      <c r="I68" s="11">
        <f t="shared" ca="1" si="39"/>
        <v>77.772375471806683</v>
      </c>
      <c r="J68" s="11">
        <f t="shared" ca="1" si="39"/>
        <v>78.531038531679101</v>
      </c>
      <c r="K68" s="11">
        <f t="shared" ca="1" si="39"/>
        <v>70.407789387086055</v>
      </c>
      <c r="L68" s="11">
        <f t="shared" ca="1" si="39"/>
        <v>71.094611521696336</v>
      </c>
      <c r="M68" s="296">
        <f t="shared" ca="1" si="39"/>
        <v>71.788133549155091</v>
      </c>
      <c r="N68" s="11">
        <f t="shared" ca="1" si="39"/>
        <v>72.519820294944566</v>
      </c>
      <c r="O68" s="11">
        <f t="shared" ca="1" si="39"/>
        <v>73.258964617181505</v>
      </c>
      <c r="P68" s="11">
        <f t="shared" ca="1" si="39"/>
        <v>74.005642525779706</v>
      </c>
      <c r="Q68" s="11">
        <f t="shared" ca="1" si="39"/>
        <v>74.759930805369393</v>
      </c>
      <c r="R68" s="11">
        <f t="shared" ca="1" si="39"/>
        <v>75.52190702319335</v>
      </c>
      <c r="S68" s="11">
        <f t="shared" ca="1" si="39"/>
        <v>76.2916495370836</v>
      </c>
      <c r="T68" s="11">
        <f t="shared" ca="1" si="39"/>
        <v>77.069237503519261</v>
      </c>
      <c r="U68" s="11">
        <f t="shared" ca="1" si="39"/>
        <v>77.854750885766663</v>
      </c>
      <c r="V68" s="11">
        <f t="shared" ca="1" si="39"/>
        <v>78.648270462102374</v>
      </c>
      <c r="W68" s="11">
        <f t="shared" ca="1" si="39"/>
        <v>79.449877834119974</v>
      </c>
      <c r="X68" s="11">
        <f t="shared" ca="1" si="39"/>
        <v>80.259655435121573</v>
      </c>
      <c r="Y68" s="11">
        <f t="shared" ca="1" si="39"/>
        <v>81.077686538594932</v>
      </c>
      <c r="Z68" s="11">
        <f t="shared" ca="1" si="39"/>
        <v>0</v>
      </c>
      <c r="AA68" s="11">
        <f t="shared" ca="1" si="39"/>
        <v>0</v>
      </c>
    </row>
    <row r="69" spans="2:28" x14ac:dyDescent="0.2">
      <c r="B69" s="1" t="s">
        <v>8</v>
      </c>
      <c r="F69" s="11">
        <f t="shared" ref="F69" ca="1" si="40">+F64/F$6</f>
        <v>40.583864179273178</v>
      </c>
      <c r="G69" s="11">
        <f t="shared" ref="G69" ca="1" si="41">+G64/G$6</f>
        <v>43.276059216278341</v>
      </c>
      <c r="H69" s="11">
        <f t="shared" ref="H69:AA69" ca="1" si="42">+H64/H$6</f>
        <v>44.174543912336709</v>
      </c>
      <c r="I69" s="11">
        <f t="shared" ca="1" si="42"/>
        <v>44.160154541897931</v>
      </c>
      <c r="J69" s="11">
        <f t="shared" ca="1" si="42"/>
        <v>44.590933179761961</v>
      </c>
      <c r="K69" s="11">
        <f t="shared" ca="1" si="42"/>
        <v>45.025914027440834</v>
      </c>
      <c r="L69" s="11">
        <f t="shared" ca="1" si="42"/>
        <v>45.465138077142043</v>
      </c>
      <c r="M69" s="296">
        <f t="shared" ca="1" si="42"/>
        <v>45.908646720948738</v>
      </c>
      <c r="N69" s="11">
        <f t="shared" ca="1" si="42"/>
        <v>46.376561774066104</v>
      </c>
      <c r="O69" s="11">
        <f t="shared" ca="1" si="42"/>
        <v>46.849245961378713</v>
      </c>
      <c r="P69" s="11">
        <f t="shared" ca="1" si="42"/>
        <v>47.326747891369685</v>
      </c>
      <c r="Q69" s="11">
        <f t="shared" ca="1" si="42"/>
        <v>47.809116667954804</v>
      </c>
      <c r="R69" s="11">
        <f t="shared" ca="1" si="42"/>
        <v>48.296401895532036</v>
      </c>
      <c r="S69" s="11">
        <f t="shared" ca="1" si="42"/>
        <v>48.788653684082661</v>
      </c>
      <c r="T69" s="11">
        <f t="shared" ca="1" si="42"/>
        <v>49.285922654324267</v>
      </c>
      <c r="U69" s="11">
        <f t="shared" ca="1" si="42"/>
        <v>49.788259942916426</v>
      </c>
      <c r="V69" s="11">
        <f t="shared" ca="1" si="42"/>
        <v>0</v>
      </c>
      <c r="W69" s="11">
        <f t="shared" ca="1" si="42"/>
        <v>0</v>
      </c>
      <c r="X69" s="11">
        <f t="shared" ca="1" si="42"/>
        <v>0</v>
      </c>
      <c r="Y69" s="11">
        <f t="shared" ca="1" si="42"/>
        <v>0</v>
      </c>
      <c r="Z69" s="11">
        <f t="shared" ca="1" si="42"/>
        <v>0</v>
      </c>
      <c r="AA69" s="11">
        <f t="shared" ca="1" si="42"/>
        <v>0</v>
      </c>
    </row>
    <row r="70" spans="2:28" x14ac:dyDescent="0.2">
      <c r="B70" s="1" t="str">
        <f>+B65</f>
        <v>Santos</v>
      </c>
      <c r="F70" s="11">
        <f t="shared" ca="1" si="36"/>
        <v>0</v>
      </c>
      <c r="G70" s="11">
        <f t="shared" ca="1" si="36"/>
        <v>0</v>
      </c>
      <c r="H70" s="11">
        <f t="shared" ca="1" si="36"/>
        <v>0</v>
      </c>
      <c r="I70" s="11">
        <f t="shared" ca="1" si="36"/>
        <v>9.7219919237618679</v>
      </c>
      <c r="J70" s="11">
        <f t="shared" ca="1" si="36"/>
        <v>9.8168291470843041</v>
      </c>
      <c r="K70" s="11">
        <f t="shared" ca="1" si="36"/>
        <v>9.9125914996393139</v>
      </c>
      <c r="L70" s="11">
        <f t="shared" ca="1" si="36"/>
        <v>10.009288005985683</v>
      </c>
      <c r="M70" s="296">
        <f t="shared" ca="1" si="36"/>
        <v>10.106927778716017</v>
      </c>
      <c r="N70" s="11">
        <f t="shared" ca="1" si="36"/>
        <v>10.209940696460622</v>
      </c>
      <c r="O70" s="11">
        <f t="shared" ca="1" si="36"/>
        <v>10.314003553559164</v>
      </c>
      <c r="P70" s="11">
        <f t="shared" ca="1" si="36"/>
        <v>10.419127051316597</v>
      </c>
      <c r="Q70" s="11">
        <f t="shared" ca="1" si="36"/>
        <v>10.525322000108861</v>
      </c>
      <c r="R70" s="11">
        <f t="shared" ca="1" si="36"/>
        <v>10.632599320494586</v>
      </c>
      <c r="S70" s="11">
        <f t="shared" ca="1" si="36"/>
        <v>10.74097004433809</v>
      </c>
      <c r="T70" s="11">
        <f t="shared" ca="1" si="36"/>
        <v>10.850445315943844</v>
      </c>
      <c r="U70" s="11">
        <f t="shared" ca="1" si="36"/>
        <v>10.961036393202502</v>
      </c>
      <c r="V70" s="11">
        <f t="shared" ref="V70:AA70" ca="1" si="43">+V65/V$6</f>
        <v>11.072754648748607</v>
      </c>
      <c r="W70" s="11">
        <f t="shared" ca="1" si="43"/>
        <v>11.185611571130083</v>
      </c>
      <c r="X70" s="11">
        <f t="shared" ca="1" si="43"/>
        <v>11.299618765989679</v>
      </c>
      <c r="Y70" s="11">
        <f t="shared" ca="1" si="43"/>
        <v>11.414787957258421</v>
      </c>
      <c r="Z70" s="11">
        <f t="shared" ca="1" si="43"/>
        <v>11.531130988361246</v>
      </c>
      <c r="AA70" s="11">
        <f t="shared" ca="1" si="43"/>
        <v>11.648659823434929</v>
      </c>
    </row>
    <row r="71" spans="2:28" x14ac:dyDescent="0.2">
      <c r="G71" s="134"/>
      <c r="H71" s="134"/>
      <c r="I71" s="134"/>
      <c r="J71" s="134"/>
      <c r="K71" s="134"/>
      <c r="L71" s="134"/>
      <c r="M71" s="134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</row>
    <row r="72" spans="2:28" x14ac:dyDescent="0.2">
      <c r="M72" s="134"/>
    </row>
  </sheetData>
  <conditionalFormatting sqref="C1">
    <cfRule type="cellIs" dxfId="9" priority="2" operator="equal">
      <formula>"OK"</formula>
    </cfRule>
  </conditionalFormatting>
  <conditionalFormatting sqref="C1">
    <cfRule type="cellIs" dxfId="8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3CC6A-1316-4CD6-9453-98873D98AEC8}">
  <sheetPr>
    <tabColor theme="1" tint="0.499984740745262"/>
  </sheetPr>
  <dimension ref="A1:V57"/>
  <sheetViews>
    <sheetView zoomScale="85" zoomScaleNormal="85" workbookViewId="0">
      <pane xSplit="4" ySplit="3" topLeftCell="E4" activePane="bottomRight" state="frozen"/>
      <selection activeCell="U11" sqref="U11"/>
      <selection pane="topRight" activeCell="U11" sqref="U11"/>
      <selection pane="bottomLeft" activeCell="U11" sqref="U11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customWidth="1"/>
    <col min="7" max="18" width="9.140625" style="1"/>
    <col min="19" max="19" width="0" style="1" hidden="1" customWidth="1" outlineLevel="1"/>
    <col min="20" max="20" width="2.7109375" style="1" customWidth="1" collapsed="1"/>
    <col min="21" max="22" width="9.140625" style="1"/>
    <col min="23" max="23" width="2.7109375" style="1" customWidth="1"/>
    <col min="24" max="16384" width="9.140625" style="1"/>
  </cols>
  <sheetData>
    <row r="1" spans="1:22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22" s="5" customFormat="1" ht="16.5" x14ac:dyDescent="0.3">
      <c r="A2" s="6" t="s">
        <v>268</v>
      </c>
      <c r="D2" s="211">
        <f ca="1">+Ctrl!G10</f>
        <v>0.32102203236261162</v>
      </c>
    </row>
    <row r="3" spans="1:22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O3" s="8">
        <f>+N3+1</f>
        <v>2027</v>
      </c>
      <c r="P3" s="8">
        <f>+O3+1</f>
        <v>2028</v>
      </c>
      <c r="Q3" s="8">
        <f>+P3+1</f>
        <v>2029</v>
      </c>
      <c r="R3" s="8">
        <f>+Q3+1</f>
        <v>2030</v>
      </c>
      <c r="S3" s="8">
        <f>+R3+1</f>
        <v>2031</v>
      </c>
      <c r="U3" s="45" t="s">
        <v>281</v>
      </c>
      <c r="V3" s="45" t="s">
        <v>287</v>
      </c>
    </row>
    <row r="4" spans="1:22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1">+H5+1</f>
        <v>44197</v>
      </c>
      <c r="J4" s="7">
        <f t="shared" si="1"/>
        <v>44562</v>
      </c>
      <c r="K4" s="7">
        <f t="shared" si="1"/>
        <v>44927</v>
      </c>
      <c r="L4" s="7">
        <f t="shared" si="1"/>
        <v>45292</v>
      </c>
      <c r="M4" s="7">
        <f t="shared" si="1"/>
        <v>45658</v>
      </c>
      <c r="N4" s="7">
        <f t="shared" si="1"/>
        <v>46023</v>
      </c>
      <c r="O4" s="7">
        <f>+N5+1</f>
        <v>46388</v>
      </c>
      <c r="P4" s="7">
        <f>+O5+1</f>
        <v>46753</v>
      </c>
      <c r="Q4" s="7">
        <f>+P5+1</f>
        <v>47119</v>
      </c>
      <c r="R4" s="7">
        <f>+Q5+1</f>
        <v>47484</v>
      </c>
      <c r="S4" s="7">
        <f>+R5+1</f>
        <v>47849</v>
      </c>
    </row>
    <row r="5" spans="1:22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2">+EOMONTH(I4,11)</f>
        <v>44561</v>
      </c>
      <c r="J5" s="7">
        <f t="shared" si="2"/>
        <v>44926</v>
      </c>
      <c r="K5" s="7">
        <f t="shared" si="2"/>
        <v>45291</v>
      </c>
      <c r="L5" s="7">
        <f t="shared" si="2"/>
        <v>45657</v>
      </c>
      <c r="M5" s="7">
        <f t="shared" si="2"/>
        <v>46022</v>
      </c>
      <c r="N5" s="7">
        <f t="shared" si="2"/>
        <v>46387</v>
      </c>
      <c r="O5" s="7">
        <f>+EOMONTH(O4,11)</f>
        <v>46752</v>
      </c>
      <c r="P5" s="7">
        <f>+EOMONTH(P4,11)</f>
        <v>47118</v>
      </c>
      <c r="Q5" s="7">
        <f>+EOMONTH(Q4,11)</f>
        <v>47483</v>
      </c>
      <c r="R5" s="7">
        <f>+EOMONTH(R4,11)</f>
        <v>47848</v>
      </c>
      <c r="S5" s="7">
        <f>+EOMONTH(S4,11)</f>
        <v>48213</v>
      </c>
    </row>
    <row r="6" spans="1:22" outlineLevel="1" x14ac:dyDescent="0.2">
      <c r="A6" s="1" t="s">
        <v>0</v>
      </c>
    </row>
    <row r="7" spans="1:22" s="3" customFormat="1" x14ac:dyDescent="0.2">
      <c r="A7" s="17" t="s">
        <v>75</v>
      </c>
      <c r="B7" s="3" t="s">
        <v>11</v>
      </c>
      <c r="G7" s="87" t="str">
        <f>+G15</f>
        <v>2019/20</v>
      </c>
      <c r="H7" s="87" t="str">
        <f t="shared" ref="H7:R7" si="3">+H15</f>
        <v>2020/21</v>
      </c>
      <c r="I7" s="87" t="str">
        <f t="shared" si="3"/>
        <v>2021/22</v>
      </c>
      <c r="J7" s="87" t="str">
        <f t="shared" si="3"/>
        <v>2022/23</v>
      </c>
      <c r="K7" s="87" t="str">
        <f t="shared" si="3"/>
        <v>2023/24</v>
      </c>
      <c r="L7" s="87" t="str">
        <f t="shared" si="3"/>
        <v>2024/25</v>
      </c>
      <c r="M7" s="87" t="str">
        <f t="shared" si="3"/>
        <v>2025/26</v>
      </c>
      <c r="N7" s="87" t="str">
        <f t="shared" si="3"/>
        <v>2026/27</v>
      </c>
      <c r="O7" s="87" t="str">
        <f t="shared" si="3"/>
        <v>2027/28</v>
      </c>
      <c r="P7" s="87" t="str">
        <f t="shared" si="3"/>
        <v>2028/29</v>
      </c>
      <c r="Q7" s="87" t="str">
        <f t="shared" si="3"/>
        <v>2029/30</v>
      </c>
      <c r="R7" s="87" t="str">
        <f t="shared" si="3"/>
        <v>2030/31</v>
      </c>
      <c r="S7" s="87"/>
    </row>
    <row r="8" spans="1:22" s="35" customFormat="1" x14ac:dyDescent="0.2">
      <c r="A8" s="17" t="s">
        <v>75</v>
      </c>
      <c r="B8" s="36" t="s">
        <v>277</v>
      </c>
      <c r="C8" s="36"/>
      <c r="D8" s="36"/>
      <c r="E8" s="36"/>
      <c r="F8" s="36"/>
      <c r="G8" s="36"/>
      <c r="H8" s="37"/>
      <c r="I8" s="37"/>
      <c r="J8" s="37"/>
      <c r="K8" s="37"/>
      <c r="L8" s="37"/>
      <c r="M8" s="37"/>
      <c r="N8" s="37"/>
    </row>
    <row r="9" spans="1:22" x14ac:dyDescent="0.2">
      <c r="B9" s="1" t="s">
        <v>525</v>
      </c>
      <c r="H9" s="137">
        <v>50.8</v>
      </c>
      <c r="I9" s="140">
        <f>+(($M9/$H9)^(0.2))*H9</f>
        <v>53.44895638422561</v>
      </c>
      <c r="J9" s="140">
        <f>+(($M9/$H9)^(0.2))*I9</f>
        <v>56.236042097693932</v>
      </c>
      <c r="K9" s="140">
        <f>+(($M9/$H9)^(0.2))*J9</f>
        <v>59.168459868132253</v>
      </c>
      <c r="L9" s="140">
        <f>+(($M9/$H9)^(0.2))*K9</f>
        <v>62.253788008141818</v>
      </c>
      <c r="M9" s="137">
        <v>65.5</v>
      </c>
      <c r="N9" s="140">
        <f>+(($R9/$M9)^(0.2))*M9</f>
        <v>68.510290726296404</v>
      </c>
      <c r="O9" s="140">
        <f t="shared" ref="O9:Q9" si="4">+(($R9/$M9)^(0.2))*N9</f>
        <v>71.658930311475658</v>
      </c>
      <c r="P9" s="140">
        <f t="shared" si="4"/>
        <v>74.952277080528418</v>
      </c>
      <c r="Q9" s="140">
        <f t="shared" si="4"/>
        <v>78.396981578395796</v>
      </c>
      <c r="R9" s="137">
        <v>82</v>
      </c>
      <c r="U9" s="97"/>
      <c r="V9" s="97">
        <f>+(R9/H9)^(1/10)-1</f>
        <v>4.9047163946893013E-2</v>
      </c>
    </row>
    <row r="10" spans="1:22" s="25" customFormat="1" x14ac:dyDescent="0.2">
      <c r="B10" s="26" t="s">
        <v>512</v>
      </c>
      <c r="H10" s="70">
        <f>+H9/H33</f>
        <v>0.59764705882352942</v>
      </c>
      <c r="I10" s="70">
        <f t="shared" ref="I10:R10" si="5">+I9/I33</f>
        <v>0.59920354690835886</v>
      </c>
      <c r="J10" s="70">
        <f t="shared" si="5"/>
        <v>0.6001712070191455</v>
      </c>
      <c r="K10" s="70">
        <f t="shared" si="5"/>
        <v>0.60810339021718662</v>
      </c>
      <c r="L10" s="70">
        <f t="shared" si="5"/>
        <v>0.623785450983385</v>
      </c>
      <c r="M10" s="70">
        <f t="shared" si="5"/>
        <v>0.63715953307393003</v>
      </c>
      <c r="N10" s="70">
        <f t="shared" si="5"/>
        <v>0.64328911480090523</v>
      </c>
      <c r="O10" s="70">
        <f t="shared" si="5"/>
        <v>0.65144482101341505</v>
      </c>
      <c r="P10" s="70">
        <f t="shared" si="5"/>
        <v>0.65921088021572927</v>
      </c>
      <c r="Q10" s="70">
        <f t="shared" si="5"/>
        <v>0.66607460984193534</v>
      </c>
      <c r="R10" s="70">
        <f t="shared" si="5"/>
        <v>0.67489711934156382</v>
      </c>
    </row>
    <row r="11" spans="1:22" s="25" customFormat="1" x14ac:dyDescent="0.2">
      <c r="B11" s="26"/>
      <c r="H11" s="70"/>
      <c r="I11" s="70"/>
      <c r="J11" s="70"/>
      <c r="K11" s="70"/>
      <c r="L11" s="70"/>
      <c r="M11" s="70"/>
      <c r="N11" s="70"/>
      <c r="O11" s="70"/>
      <c r="P11" s="70"/>
      <c r="Q11" s="70"/>
      <c r="R11" s="70"/>
    </row>
    <row r="12" spans="1:22" s="25" customFormat="1" x14ac:dyDescent="0.2">
      <c r="B12" s="26" t="s">
        <v>526</v>
      </c>
      <c r="H12" s="29">
        <v>0.8</v>
      </c>
      <c r="I12" s="29">
        <v>0.8</v>
      </c>
      <c r="J12" s="29">
        <v>0.8</v>
      </c>
      <c r="K12" s="29">
        <v>0.8</v>
      </c>
      <c r="L12" s="29">
        <v>0.8</v>
      </c>
      <c r="M12" s="29">
        <v>0.8</v>
      </c>
      <c r="N12" s="29">
        <v>0.8</v>
      </c>
      <c r="O12" s="70"/>
      <c r="P12" s="70"/>
      <c r="Q12" s="70"/>
      <c r="R12" s="70"/>
    </row>
    <row r="13" spans="1:22" s="25" customFormat="1" x14ac:dyDescent="0.2">
      <c r="B13" s="26" t="s">
        <v>513</v>
      </c>
      <c r="H13" s="70">
        <f>+H23*H12/(H9*1000)</f>
        <v>8.1019419984251967E-2</v>
      </c>
      <c r="I13" s="70">
        <f t="shared" ref="I13:N13" ca="1" si="6">+I23*I12/(I9*1000)</f>
        <v>8.5019419984251957E-2</v>
      </c>
      <c r="J13" s="70">
        <f t="shared" ca="1" si="6"/>
        <v>8.9019419984251988E-2</v>
      </c>
      <c r="K13" s="70">
        <f t="shared" ca="1" si="6"/>
        <v>9.3019419984252005E-2</v>
      </c>
      <c r="L13" s="70">
        <f t="shared" ca="1" si="6"/>
        <v>9.7019419984252009E-2</v>
      </c>
      <c r="M13" s="70">
        <f t="shared" ca="1" si="6"/>
        <v>0.101019419984252</v>
      </c>
      <c r="N13" s="70">
        <f t="shared" ca="1" si="6"/>
        <v>0.10501941998425203</v>
      </c>
      <c r="O13" s="70"/>
      <c r="P13" s="70"/>
      <c r="Q13" s="70"/>
      <c r="R13" s="70"/>
    </row>
    <row r="14" spans="1:22" s="25" customFormat="1" x14ac:dyDescent="0.2">
      <c r="B14" s="26"/>
      <c r="H14" s="70"/>
      <c r="I14" s="70"/>
      <c r="J14" s="70"/>
      <c r="K14" s="70"/>
      <c r="L14" s="70"/>
      <c r="M14" s="70"/>
      <c r="N14" s="70"/>
      <c r="O14" s="70"/>
      <c r="P14" s="70"/>
      <c r="Q14" s="70"/>
      <c r="R14" s="70"/>
    </row>
    <row r="15" spans="1:22" s="3" customFormat="1" x14ac:dyDescent="0.2">
      <c r="A15" s="17" t="s">
        <v>75</v>
      </c>
      <c r="B15" s="3" t="s">
        <v>269</v>
      </c>
      <c r="G15" s="87" t="str">
        <f t="shared" ref="G15:R15" si="7">+G3&amp;"/"&amp;RIGHT(H3,2)</f>
        <v>2019/20</v>
      </c>
      <c r="H15" s="87" t="str">
        <f t="shared" si="7"/>
        <v>2020/21</v>
      </c>
      <c r="I15" s="87" t="str">
        <f t="shared" si="7"/>
        <v>2021/22</v>
      </c>
      <c r="J15" s="87" t="str">
        <f t="shared" si="7"/>
        <v>2022/23</v>
      </c>
      <c r="K15" s="87" t="str">
        <f t="shared" si="7"/>
        <v>2023/24</v>
      </c>
      <c r="L15" s="87" t="str">
        <f t="shared" si="7"/>
        <v>2024/25</v>
      </c>
      <c r="M15" s="87" t="str">
        <f t="shared" si="7"/>
        <v>2025/26</v>
      </c>
      <c r="N15" s="87" t="str">
        <f t="shared" si="7"/>
        <v>2026/27</v>
      </c>
      <c r="O15" s="87" t="str">
        <f t="shared" si="7"/>
        <v>2027/28</v>
      </c>
      <c r="P15" s="87" t="str">
        <f t="shared" si="7"/>
        <v>2028/29</v>
      </c>
      <c r="Q15" s="87" t="str">
        <f t="shared" si="7"/>
        <v>2029/30</v>
      </c>
      <c r="R15" s="87" t="str">
        <f t="shared" si="7"/>
        <v>2030/31</v>
      </c>
      <c r="S15" s="87"/>
    </row>
    <row r="16" spans="1:22" s="35" customFormat="1" x14ac:dyDescent="0.2">
      <c r="A16" s="17" t="s">
        <v>75</v>
      </c>
      <c r="B16" s="36" t="s">
        <v>276</v>
      </c>
      <c r="C16" s="36"/>
      <c r="D16" s="36"/>
      <c r="E16" s="36"/>
      <c r="F16" s="36"/>
      <c r="G16" s="36"/>
      <c r="H16" s="37"/>
      <c r="I16" s="37"/>
      <c r="J16" s="37"/>
      <c r="K16" s="37"/>
      <c r="L16" s="37"/>
      <c r="M16" s="37"/>
      <c r="N16" s="37"/>
    </row>
    <row r="17" spans="1:22" x14ac:dyDescent="0.2">
      <c r="B17" s="1" t="s">
        <v>270</v>
      </c>
      <c r="G17" s="133">
        <v>338995</v>
      </c>
    </row>
    <row r="18" spans="1:22" x14ac:dyDescent="0.2">
      <c r="B18" s="1" t="s">
        <v>271</v>
      </c>
      <c r="G18" s="133">
        <v>128500</v>
      </c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U18" s="97"/>
      <c r="V18" s="97"/>
    </row>
    <row r="19" spans="1:22" s="25" customFormat="1" x14ac:dyDescent="0.2">
      <c r="B19" s="26" t="s">
        <v>272</v>
      </c>
      <c r="G19" s="70">
        <f>+G18/G17</f>
        <v>0.37906163807725779</v>
      </c>
    </row>
    <row r="20" spans="1:22" x14ac:dyDescent="0.2">
      <c r="B20" s="1" t="s">
        <v>273</v>
      </c>
      <c r="G20" s="135">
        <f>+G18*G22</f>
        <v>35980</v>
      </c>
      <c r="H20" s="135">
        <f>+H33*H37*1000</f>
        <v>33534.275184275182</v>
      </c>
      <c r="I20" s="135">
        <f t="shared" ref="I20:R20" si="8">+I33*I37*1000</f>
        <v>35686.136609336616</v>
      </c>
      <c r="J20" s="135">
        <f t="shared" si="8"/>
        <v>38006.285503685511</v>
      </c>
      <c r="K20" s="135">
        <f t="shared" si="8"/>
        <v>40006.317444717446</v>
      </c>
      <c r="L20" s="135">
        <f t="shared" si="8"/>
        <v>41587.910565110571</v>
      </c>
      <c r="M20" s="135">
        <f t="shared" si="8"/>
        <v>43408.373464373472</v>
      </c>
      <c r="N20" s="135">
        <f t="shared" si="8"/>
        <v>45561.589680589692</v>
      </c>
      <c r="O20" s="135">
        <f t="shared" si="8"/>
        <v>47669.189189189201</v>
      </c>
      <c r="P20" s="135">
        <f t="shared" si="8"/>
        <v>49903.404914004932</v>
      </c>
      <c r="Q20" s="135">
        <f t="shared" si="8"/>
        <v>52312.010810810832</v>
      </c>
      <c r="R20" s="135">
        <f t="shared" si="8"/>
        <v>54675.000000000007</v>
      </c>
      <c r="U20" s="97">
        <f>+(R20/H20)-1</f>
        <v>0.63042140316299689</v>
      </c>
      <c r="V20" s="97">
        <f>+(R20/H20)^(1/10)-1</f>
        <v>5.0098375880410551E-2</v>
      </c>
    </row>
    <row r="21" spans="1:22" x14ac:dyDescent="0.2">
      <c r="B21" s="26" t="s">
        <v>506</v>
      </c>
      <c r="G21" s="135"/>
      <c r="H21" s="70">
        <f>+H20/G20-1</f>
        <v>-6.7974564083513545E-2</v>
      </c>
      <c r="I21" s="70">
        <f t="shared" ref="I21:R21" si="9">+I20/H20-1</f>
        <v>6.4169015529236262E-2</v>
      </c>
      <c r="J21" s="70">
        <f t="shared" si="9"/>
        <v>6.5015412560570418E-2</v>
      </c>
      <c r="K21" s="70">
        <f t="shared" si="9"/>
        <v>5.2623715117805725E-2</v>
      </c>
      <c r="L21" s="70">
        <f t="shared" si="9"/>
        <v>3.9533584229006991E-2</v>
      </c>
      <c r="M21" s="70">
        <f t="shared" si="9"/>
        <v>4.3773848566226015E-2</v>
      </c>
      <c r="N21" s="70">
        <f t="shared" si="9"/>
        <v>4.960370648265422E-2</v>
      </c>
      <c r="O21" s="70">
        <f t="shared" si="9"/>
        <v>4.6258252255350962E-2</v>
      </c>
      <c r="P21" s="70">
        <f t="shared" si="9"/>
        <v>4.6869178243174714E-2</v>
      </c>
      <c r="Q21" s="70">
        <f t="shared" si="9"/>
        <v>4.8265361871729695E-2</v>
      </c>
      <c r="R21" s="70">
        <f t="shared" si="9"/>
        <v>4.5171064016924278E-2</v>
      </c>
      <c r="U21" s="97"/>
      <c r="V21" s="97"/>
    </row>
    <row r="22" spans="1:22" x14ac:dyDescent="0.2">
      <c r="B22" s="26" t="s">
        <v>274</v>
      </c>
      <c r="G22" s="29">
        <v>0.28000000000000003</v>
      </c>
    </row>
    <row r="23" spans="1:22" x14ac:dyDescent="0.2">
      <c r="B23" s="1" t="s">
        <v>291</v>
      </c>
      <c r="G23" s="136">
        <f>+North!G13</f>
        <v>3527.2346000000007</v>
      </c>
      <c r="H23" s="136">
        <f>+North!H13</f>
        <v>5144.7331690000001</v>
      </c>
      <c r="I23" s="136">
        <f ca="1">+North!I13</f>
        <v>5680.2490881880522</v>
      </c>
      <c r="J23" s="136">
        <f ca="1">+North!J13</f>
        <v>6257.6248121833642</v>
      </c>
      <c r="K23" s="136">
        <f ca="1">+North!K13</f>
        <v>6879.7697728689418</v>
      </c>
      <c r="L23" s="136">
        <f ca="1">+North!L13</f>
        <v>7549.783005465627</v>
      </c>
      <c r="M23" s="136">
        <f ca="1">+North!M13</f>
        <v>8270.9650112106319</v>
      </c>
      <c r="N23" s="136">
        <f ca="1">+North!N13</f>
        <v>8993.6387437851608</v>
      </c>
      <c r="O23" s="136"/>
    </row>
    <row r="24" spans="1:22" x14ac:dyDescent="0.2">
      <c r="B24" s="26" t="s">
        <v>275</v>
      </c>
      <c r="G24" s="70">
        <f t="shared" ref="G24:N24" si="10">+G23/G20</f>
        <v>9.8033201778765997E-2</v>
      </c>
      <c r="H24" s="70">
        <f t="shared" si="10"/>
        <v>0.15341715724371632</v>
      </c>
      <c r="I24" s="70">
        <f t="shared" ca="1" si="10"/>
        <v>0.15917243018965299</v>
      </c>
      <c r="J24" s="70">
        <f t="shared" ca="1" si="10"/>
        <v>0.16464710321603399</v>
      </c>
      <c r="K24" s="70">
        <f t="shared" ca="1" si="10"/>
        <v>0.17196708450798356</v>
      </c>
      <c r="L24" s="70">
        <f t="shared" ca="1" si="10"/>
        <v>0.18153792539410193</v>
      </c>
      <c r="M24" s="70">
        <f t="shared" ca="1" si="10"/>
        <v>0.19053846875877201</v>
      </c>
      <c r="N24" s="70">
        <f t="shared" ca="1" si="10"/>
        <v>0.19739519202106906</v>
      </c>
      <c r="O24" s="70"/>
      <c r="P24" s="143"/>
    </row>
    <row r="25" spans="1:22" x14ac:dyDescent="0.2">
      <c r="B25" s="1" t="s">
        <v>289</v>
      </c>
      <c r="G25" s="135"/>
      <c r="H25" s="135">
        <f>+H20*$H$24</f>
        <v>5144.7331690000001</v>
      </c>
      <c r="I25" s="135">
        <f t="shared" ref="I25:N25" si="11">+I20*$H$24</f>
        <v>5474.8656316153374</v>
      </c>
      <c r="J25" s="135">
        <f t="shared" si="11"/>
        <v>5830.816279368496</v>
      </c>
      <c r="K25" s="135">
        <f t="shared" si="11"/>
        <v>6137.6554941582481</v>
      </c>
      <c r="L25" s="135">
        <f t="shared" si="11"/>
        <v>6380.2990146051798</v>
      </c>
      <c r="M25" s="135">
        <f t="shared" si="11"/>
        <v>6659.5892574777481</v>
      </c>
      <c r="N25" s="135">
        <f t="shared" si="11"/>
        <v>6989.9295683007122</v>
      </c>
      <c r="O25" s="136"/>
    </row>
    <row r="26" spans="1:22" x14ac:dyDescent="0.2">
      <c r="B26" s="19" t="s">
        <v>506</v>
      </c>
      <c r="G26" s="70"/>
      <c r="I26" s="70">
        <f t="shared" ref="I26:N26" si="12">+I25/H25-1</f>
        <v>6.416901552923604E-2</v>
      </c>
      <c r="J26" s="70">
        <f t="shared" si="12"/>
        <v>6.5015412560570418E-2</v>
      </c>
      <c r="K26" s="70">
        <f t="shared" si="12"/>
        <v>5.2623715117805725E-2</v>
      </c>
      <c r="L26" s="70">
        <f t="shared" si="12"/>
        <v>3.9533584229006768E-2</v>
      </c>
      <c r="M26" s="70">
        <f t="shared" si="12"/>
        <v>4.3773848566226015E-2</v>
      </c>
      <c r="N26" s="70">
        <f t="shared" si="12"/>
        <v>4.960370648265422E-2</v>
      </c>
    </row>
    <row r="27" spans="1:22" x14ac:dyDescent="0.2">
      <c r="B27" s="1" t="s">
        <v>527</v>
      </c>
      <c r="G27" s="70"/>
      <c r="H27" s="135">
        <f t="shared" ref="H27:N27" si="13">+H9*H29/H12*1000</f>
        <v>5144.7331689999992</v>
      </c>
      <c r="I27" s="135">
        <f t="shared" si="13"/>
        <v>5680.2490881880522</v>
      </c>
      <c r="J27" s="135">
        <f t="shared" si="13"/>
        <v>6257.6248121833632</v>
      </c>
      <c r="K27" s="135">
        <f t="shared" si="13"/>
        <v>6879.76977286894</v>
      </c>
      <c r="L27" s="135">
        <f t="shared" si="13"/>
        <v>7549.7830054656251</v>
      </c>
      <c r="M27" s="135">
        <f t="shared" si="13"/>
        <v>8270.9650112106301</v>
      </c>
      <c r="N27" s="135">
        <f t="shared" si="13"/>
        <v>8993.6387437851572</v>
      </c>
    </row>
    <row r="28" spans="1:22" s="25" customFormat="1" x14ac:dyDescent="0.2">
      <c r="B28" s="26" t="s">
        <v>651</v>
      </c>
      <c r="G28" s="70"/>
      <c r="I28" s="30">
        <f>+I27/H27-1</f>
        <v>0.10409012510402804</v>
      </c>
      <c r="J28" s="30">
        <f t="shared" ref="J28:N28" si="14">+J27/I27-1</f>
        <v>0.10164619808591691</v>
      </c>
      <c r="K28" s="30">
        <f t="shared" si="14"/>
        <v>9.9421901976974425E-2</v>
      </c>
      <c r="L28" s="30">
        <f t="shared" si="14"/>
        <v>9.7388903221580003E-2</v>
      </c>
      <c r="M28" s="30">
        <f t="shared" si="14"/>
        <v>9.5523540904806081E-2</v>
      </c>
      <c r="N28" s="30">
        <f t="shared" si="14"/>
        <v>8.7374778105698825E-2</v>
      </c>
    </row>
    <row r="29" spans="1:22" x14ac:dyDescent="0.2">
      <c r="B29" s="26" t="s">
        <v>528</v>
      </c>
      <c r="C29" s="269">
        <v>4.0000000000000001E-3</v>
      </c>
      <c r="H29" s="30">
        <f>+H13</f>
        <v>8.1019419984251967E-2</v>
      </c>
      <c r="I29" s="157">
        <f>+H29+$C29</f>
        <v>8.501941998425197E-2</v>
      </c>
      <c r="J29" s="30">
        <f t="shared" ref="J29:N29" si="15">+I29+$C29</f>
        <v>8.9019419984251974E-2</v>
      </c>
      <c r="K29" s="30">
        <f t="shared" si="15"/>
        <v>9.3019419984251978E-2</v>
      </c>
      <c r="L29" s="30">
        <f t="shared" si="15"/>
        <v>9.7019419984251981E-2</v>
      </c>
      <c r="M29" s="30">
        <f t="shared" si="15"/>
        <v>0.10101941998425198</v>
      </c>
      <c r="N29" s="30">
        <f t="shared" si="15"/>
        <v>0.10501941998425199</v>
      </c>
    </row>
    <row r="30" spans="1:22" x14ac:dyDescent="0.2">
      <c r="I30" s="134"/>
      <c r="J30" s="134"/>
      <c r="K30" s="134"/>
      <c r="L30" s="134"/>
      <c r="M30" s="134"/>
      <c r="N30" s="134"/>
    </row>
    <row r="31" spans="1:22" s="35" customFormat="1" x14ac:dyDescent="0.2">
      <c r="A31" s="17" t="s">
        <v>75</v>
      </c>
      <c r="B31" s="36" t="s">
        <v>277</v>
      </c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</row>
    <row r="32" spans="1:22" hidden="1" outlineLevel="1" x14ac:dyDescent="0.2">
      <c r="B32" s="1" t="s">
        <v>278</v>
      </c>
      <c r="F32" s="133">
        <v>77000</v>
      </c>
      <c r="G32" s="133">
        <v>79000</v>
      </c>
      <c r="H32" s="133">
        <f>+R32-32.4*1000</f>
        <v>89100</v>
      </c>
      <c r="I32" s="135">
        <f t="shared" ref="I32:Q32" si="16">+H32*(1+$V32)</f>
        <v>91906.782281448162</v>
      </c>
      <c r="J32" s="135">
        <f t="shared" si="16"/>
        <v>94801.98237182395</v>
      </c>
      <c r="K32" s="135">
        <f t="shared" si="16"/>
        <v>97788.385563377233</v>
      </c>
      <c r="L32" s="135">
        <f t="shared" si="16"/>
        <v>100868.86488919889</v>
      </c>
      <c r="M32" s="135">
        <f t="shared" si="16"/>
        <v>104046.38388718758</v>
      </c>
      <c r="N32" s="135">
        <f t="shared" si="16"/>
        <v>107323.99945108559</v>
      </c>
      <c r="O32" s="135">
        <f t="shared" si="16"/>
        <v>110704.86477132644</v>
      </c>
      <c r="P32" s="135">
        <f t="shared" si="16"/>
        <v>114192.23236852368</v>
      </c>
      <c r="Q32" s="135">
        <f t="shared" si="16"/>
        <v>117789.45722251901</v>
      </c>
      <c r="R32" s="133">
        <v>121500</v>
      </c>
      <c r="S32" s="133"/>
      <c r="V32" s="97">
        <f>+(R32/H32)^(1/10)-1</f>
        <v>3.1501484640271249E-2</v>
      </c>
    </row>
    <row r="33" spans="1:22" collapsed="1" x14ac:dyDescent="0.2">
      <c r="B33" s="1" t="s">
        <v>278</v>
      </c>
      <c r="F33" s="133"/>
      <c r="G33" s="137">
        <v>92.5</v>
      </c>
      <c r="H33" s="137">
        <v>85</v>
      </c>
      <c r="I33" s="137">
        <v>89.2</v>
      </c>
      <c r="J33" s="137">
        <v>93.7</v>
      </c>
      <c r="K33" s="137">
        <v>97.3</v>
      </c>
      <c r="L33" s="137">
        <v>99.8</v>
      </c>
      <c r="M33" s="137">
        <v>102.8</v>
      </c>
      <c r="N33" s="137">
        <v>106.5</v>
      </c>
      <c r="O33" s="137">
        <v>110</v>
      </c>
      <c r="P33" s="137">
        <v>113.7</v>
      </c>
      <c r="Q33" s="137">
        <v>117.7</v>
      </c>
      <c r="R33" s="137">
        <v>121.5</v>
      </c>
      <c r="S33" s="133"/>
      <c r="U33" s="97">
        <f>+(R33/H33)-1</f>
        <v>0.42941176470588238</v>
      </c>
      <c r="V33" s="97">
        <f>+(R33/H33)^(1/10)-1</f>
        <v>3.6372153262925533E-2</v>
      </c>
    </row>
    <row r="34" spans="1:22" x14ac:dyDescent="0.2">
      <c r="B34" s="1" t="s">
        <v>509</v>
      </c>
      <c r="F34" s="133"/>
      <c r="G34" s="139">
        <f>+G35-G33</f>
        <v>72.099999999999994</v>
      </c>
      <c r="H34" s="139">
        <f t="shared" ref="H34:R34" si="17">+H35-H33</f>
        <v>82.9</v>
      </c>
      <c r="I34" s="139">
        <f t="shared" si="17"/>
        <v>83.7</v>
      </c>
      <c r="J34" s="139">
        <f t="shared" si="17"/>
        <v>85.2</v>
      </c>
      <c r="K34" s="139">
        <f t="shared" si="17"/>
        <v>86.500000000000014</v>
      </c>
      <c r="L34" s="139">
        <f t="shared" si="17"/>
        <v>88.7</v>
      </c>
      <c r="M34" s="139">
        <f t="shared" si="17"/>
        <v>90.399999999999991</v>
      </c>
      <c r="N34" s="139">
        <f t="shared" si="17"/>
        <v>91.4</v>
      </c>
      <c r="O34" s="139">
        <f t="shared" si="17"/>
        <v>92.800000000000011</v>
      </c>
      <c r="P34" s="139">
        <f t="shared" si="17"/>
        <v>94.499999999999986</v>
      </c>
      <c r="Q34" s="139">
        <f t="shared" si="17"/>
        <v>95.8</v>
      </c>
      <c r="R34" s="139">
        <f t="shared" si="17"/>
        <v>97.699999999999989</v>
      </c>
      <c r="S34" s="133"/>
      <c r="U34" s="97">
        <f>+(R34/H34)-1</f>
        <v>0.17852834740651358</v>
      </c>
      <c r="V34" s="97">
        <f>+(R34/H34)^(1/10)-1</f>
        <v>1.6562308891569621E-2</v>
      </c>
    </row>
    <row r="35" spans="1:22" x14ac:dyDescent="0.2">
      <c r="B35" s="1" t="s">
        <v>510</v>
      </c>
      <c r="F35" s="133"/>
      <c r="G35" s="139">
        <f>+G57</f>
        <v>164.6</v>
      </c>
      <c r="H35" s="139">
        <f t="shared" ref="H35:R35" si="18">+H57</f>
        <v>167.9</v>
      </c>
      <c r="I35" s="139">
        <f t="shared" si="18"/>
        <v>172.9</v>
      </c>
      <c r="J35" s="139">
        <f t="shared" si="18"/>
        <v>178.9</v>
      </c>
      <c r="K35" s="139">
        <f t="shared" si="18"/>
        <v>183.8</v>
      </c>
      <c r="L35" s="139">
        <f t="shared" si="18"/>
        <v>188.5</v>
      </c>
      <c r="M35" s="139">
        <f t="shared" si="18"/>
        <v>193.2</v>
      </c>
      <c r="N35" s="139">
        <f t="shared" si="18"/>
        <v>197.9</v>
      </c>
      <c r="O35" s="139">
        <f t="shared" si="18"/>
        <v>202.8</v>
      </c>
      <c r="P35" s="139">
        <f t="shared" si="18"/>
        <v>208.2</v>
      </c>
      <c r="Q35" s="139">
        <f t="shared" si="18"/>
        <v>213.5</v>
      </c>
      <c r="R35" s="139">
        <f t="shared" si="18"/>
        <v>219.2</v>
      </c>
      <c r="S35" s="133"/>
      <c r="U35" s="97">
        <f>+(R35/H35)-1</f>
        <v>0.30553901131625949</v>
      </c>
      <c r="V35" s="97">
        <f>+(R35/H35)^(1/10)-1</f>
        <v>2.7020199391377675E-2</v>
      </c>
    </row>
    <row r="36" spans="1:22" s="25" customFormat="1" x14ac:dyDescent="0.2">
      <c r="B36" s="26" t="s">
        <v>286</v>
      </c>
      <c r="G36" s="70">
        <f t="shared" ref="G36:R36" si="19">+G33/G57</f>
        <v>0.56196840826245442</v>
      </c>
      <c r="H36" s="70">
        <f t="shared" si="19"/>
        <v>0.50625372245384159</v>
      </c>
      <c r="I36" s="70">
        <f t="shared" si="19"/>
        <v>0.51590514748409488</v>
      </c>
      <c r="J36" s="70">
        <f t="shared" si="19"/>
        <v>0.52375628842929012</v>
      </c>
      <c r="K36" s="70">
        <f t="shared" si="19"/>
        <v>0.52937976060935799</v>
      </c>
      <c r="L36" s="70">
        <f t="shared" si="19"/>
        <v>0.5294429708222812</v>
      </c>
      <c r="M36" s="70">
        <f t="shared" si="19"/>
        <v>0.53209109730848858</v>
      </c>
      <c r="N36" s="70">
        <f t="shared" si="19"/>
        <v>0.53815058110156644</v>
      </c>
      <c r="O36" s="70">
        <f t="shared" si="19"/>
        <v>0.54240631163708086</v>
      </c>
      <c r="P36" s="70">
        <f t="shared" si="19"/>
        <v>0.54610951008645536</v>
      </c>
      <c r="Q36" s="70">
        <f t="shared" si="19"/>
        <v>0.55128805620608901</v>
      </c>
      <c r="R36" s="70">
        <f t="shared" si="19"/>
        <v>0.55428832116788329</v>
      </c>
    </row>
    <row r="37" spans="1:22" x14ac:dyDescent="0.2">
      <c r="B37" s="26" t="s">
        <v>288</v>
      </c>
      <c r="G37" s="70">
        <f>+G20/1000/G33</f>
        <v>0.38897297297297295</v>
      </c>
      <c r="H37" s="111">
        <f>+($R37-$G37)/11+G37</f>
        <v>0.39452088452088452</v>
      </c>
      <c r="I37" s="70">
        <f t="shared" ref="I37:Q37" si="20">+($R37-$G37)/11+H37</f>
        <v>0.40006879606879608</v>
      </c>
      <c r="J37" s="70">
        <f t="shared" si="20"/>
        <v>0.40561670761670765</v>
      </c>
      <c r="K37" s="70">
        <f t="shared" si="20"/>
        <v>0.41116461916461922</v>
      </c>
      <c r="L37" s="70">
        <f t="shared" si="20"/>
        <v>0.41671253071253078</v>
      </c>
      <c r="M37" s="70">
        <f t="shared" si="20"/>
        <v>0.42226044226044235</v>
      </c>
      <c r="N37" s="70">
        <f t="shared" si="20"/>
        <v>0.42780835380835391</v>
      </c>
      <c r="O37" s="70">
        <f t="shared" si="20"/>
        <v>0.43335626535626548</v>
      </c>
      <c r="P37" s="70">
        <f t="shared" si="20"/>
        <v>0.43890417690417705</v>
      </c>
      <c r="Q37" s="70">
        <f t="shared" si="20"/>
        <v>0.44445208845208861</v>
      </c>
      <c r="R37" s="29">
        <v>0.45</v>
      </c>
    </row>
    <row r="38" spans="1:22" x14ac:dyDescent="0.2">
      <c r="J38" s="70"/>
      <c r="K38" s="70"/>
      <c r="L38" s="70"/>
      <c r="M38" s="70"/>
      <c r="N38" s="70"/>
    </row>
    <row r="39" spans="1:22" s="35" customFormat="1" x14ac:dyDescent="0.2">
      <c r="A39" s="17" t="s">
        <v>75</v>
      </c>
      <c r="B39" s="36" t="s">
        <v>522</v>
      </c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</row>
    <row r="40" spans="1:22" x14ac:dyDescent="0.2">
      <c r="B40" s="1" t="s">
        <v>521</v>
      </c>
      <c r="G40" s="137"/>
      <c r="H40" s="137">
        <v>6</v>
      </c>
      <c r="I40" s="140">
        <f>+(($M40/$H40)^(0.2))*H40</f>
        <v>6.386806679019239</v>
      </c>
      <c r="J40" s="140">
        <f>+(($M40/$H40)^(0.2))*I40</f>
        <v>6.7985499258607938</v>
      </c>
      <c r="K40" s="140">
        <f>+(($M40/$H40)^(0.2))*J40</f>
        <v>7.2368373456889117</v>
      </c>
      <c r="L40" s="140">
        <f>+(($M40/$H40)^(0.2))*K40</f>
        <v>7.7033801824036336</v>
      </c>
      <c r="M40" s="137">
        <v>8.1999999999999993</v>
      </c>
      <c r="N40" s="140">
        <f>+(($R40/$M40)^(0.2))*M40</f>
        <v>8.7431266726584802</v>
      </c>
      <c r="O40" s="140">
        <f t="shared" ref="O40" si="21">+(($R40/$M40)^(0.2))*N40</f>
        <v>9.3222273187990421</v>
      </c>
      <c r="P40" s="140">
        <f t="shared" ref="P40" si="22">+(($R40/$M40)^(0.2))*O40</f>
        <v>9.9396846731192028</v>
      </c>
      <c r="Q40" s="140">
        <f t="shared" ref="Q40" si="23">+(($R40/$M40)^(0.2))*P40</f>
        <v>10.598039290654048</v>
      </c>
      <c r="R40" s="137">
        <v>11.3</v>
      </c>
      <c r="S40" s="139"/>
      <c r="U40" s="97"/>
      <c r="V40" s="97">
        <f>+(R40/H40)^(1/10)-1</f>
        <v>6.535100353863732E-2</v>
      </c>
    </row>
    <row r="41" spans="1:22" x14ac:dyDescent="0.2">
      <c r="B41" s="1" t="s">
        <v>524</v>
      </c>
      <c r="H41" s="313">
        <f>+SUMIFS(Segments!$10:$10,Segments!$3:$3,Macro!H$3)/1000</f>
        <v>0.24178285999999999</v>
      </c>
      <c r="I41" s="313">
        <f ca="1">+SUMIFS(Segments!$10:$10,Segments!$3:$3,Macro!I$3)/1000</f>
        <v>0.26695006814540972</v>
      </c>
      <c r="J41" s="313">
        <f ca="1">+SUMIFS(Segments!$10:$10,Segments!$3:$3,Macro!J$3)/1000</f>
        <v>0.29408452765116705</v>
      </c>
      <c r="K41" s="313">
        <f ca="1">+SUMIFS(Segments!$10:$10,Segments!$3:$3,Macro!K$3)/1000</f>
        <v>0.3233229707322462</v>
      </c>
      <c r="L41" s="313">
        <f ca="1">+SUMIFS(Segments!$10:$10,Segments!$3:$3,Macro!L$3)/1000</f>
        <v>0.35481104023820265</v>
      </c>
      <c r="M41" s="313">
        <f ca="1">+SUMIFS(Segments!$10:$10,Segments!$3:$3,Macro!M$3)/1000</f>
        <v>0.38870384715387335</v>
      </c>
      <c r="N41" s="313">
        <f ca="1">+SUMIFS(Segments!$10:$10,Segments!$3:$3,Macro!N$3)/1000</f>
        <v>0.4226667595477745</v>
      </c>
      <c r="O41" s="140"/>
      <c r="P41" s="140"/>
      <c r="Q41" s="140"/>
      <c r="R41" s="140"/>
    </row>
    <row r="42" spans="1:22" s="25" customFormat="1" x14ac:dyDescent="0.2">
      <c r="B42" s="26" t="s">
        <v>523</v>
      </c>
      <c r="C42" s="270">
        <f ca="1">+(N42-H42)/6</f>
        <v>1.0727471375984985E-3</v>
      </c>
      <c r="H42" s="70">
        <f>+(H41*H44)/H40</f>
        <v>3.2237714666666667E-2</v>
      </c>
      <c r="I42" s="70">
        <f t="shared" ref="I42:N42" ca="1" si="24">+(I41*I44)/I40</f>
        <v>3.3437688855978052E-2</v>
      </c>
      <c r="J42" s="70">
        <f t="shared" ca="1" si="24"/>
        <v>3.4605559227565044E-2</v>
      </c>
      <c r="K42" s="70">
        <f t="shared" ca="1" si="24"/>
        <v>3.5741908271557814E-2</v>
      </c>
      <c r="L42" s="70">
        <f t="shared" ca="1" si="24"/>
        <v>3.6847309294034437E-2</v>
      </c>
      <c r="M42" s="70">
        <f t="shared" ca="1" si="24"/>
        <v>3.7922326551597406E-2</v>
      </c>
      <c r="N42" s="70">
        <f t="shared" ca="1" si="24"/>
        <v>3.8674197492257659E-2</v>
      </c>
      <c r="O42" s="70"/>
      <c r="P42" s="70"/>
      <c r="Q42" s="70"/>
      <c r="R42" s="70"/>
    </row>
    <row r="44" spans="1:22" s="25" customFormat="1" x14ac:dyDescent="0.2">
      <c r="B44" s="26" t="s">
        <v>530</v>
      </c>
      <c r="H44" s="30">
        <f>+H12</f>
        <v>0.8</v>
      </c>
      <c r="I44" s="30">
        <f t="shared" ref="I44:N44" si="25">+I12</f>
        <v>0.8</v>
      </c>
      <c r="J44" s="30">
        <f t="shared" si="25"/>
        <v>0.8</v>
      </c>
      <c r="K44" s="30">
        <f t="shared" si="25"/>
        <v>0.8</v>
      </c>
      <c r="L44" s="30">
        <f t="shared" si="25"/>
        <v>0.8</v>
      </c>
      <c r="M44" s="30">
        <f t="shared" si="25"/>
        <v>0.8</v>
      </c>
      <c r="N44" s="30">
        <f t="shared" si="25"/>
        <v>0.8</v>
      </c>
      <c r="O44" s="70"/>
      <c r="P44" s="70"/>
      <c r="Q44" s="70"/>
      <c r="R44" s="70"/>
    </row>
    <row r="46" spans="1:22" x14ac:dyDescent="0.2">
      <c r="B46" s="1" t="s">
        <v>529</v>
      </c>
      <c r="H46" s="140">
        <f>+(H40/H44*H48)*1000</f>
        <v>241.78286</v>
      </c>
      <c r="I46" s="140">
        <f t="shared" ref="I46:N46" si="26">+(I40/I44*I48)*1000</f>
        <v>377.12268941833963</v>
      </c>
      <c r="J46" s="140">
        <f t="shared" si="26"/>
        <v>528.90776304101485</v>
      </c>
      <c r="K46" s="140">
        <f t="shared" si="26"/>
        <v>698.69597249424692</v>
      </c>
      <c r="L46" s="140">
        <f t="shared" si="26"/>
        <v>888.17772904175115</v>
      </c>
      <c r="M46" s="140">
        <f t="shared" si="26"/>
        <v>1099.1865753333332</v>
      </c>
      <c r="N46" s="140">
        <f t="shared" si="26"/>
        <v>1335.9247793836876</v>
      </c>
    </row>
    <row r="47" spans="1:22" s="25" customFormat="1" x14ac:dyDescent="0.2">
      <c r="B47" s="26" t="s">
        <v>651</v>
      </c>
      <c r="G47" s="70"/>
      <c r="I47" s="30">
        <f>+I46/H46-1</f>
        <v>0.55975774882611451</v>
      </c>
      <c r="J47" s="30">
        <f t="shared" ref="J47" si="27">+J46/I46-1</f>
        <v>0.40248194521730585</v>
      </c>
      <c r="K47" s="30">
        <f t="shared" ref="K47" si="28">+K46/J46-1</f>
        <v>0.32101667118103094</v>
      </c>
      <c r="L47" s="30">
        <f t="shared" ref="L47" si="29">+L46/K46-1</f>
        <v>0.27119342891169218</v>
      </c>
      <c r="M47" s="30">
        <f t="shared" ref="M47" si="30">+M46/L46-1</f>
        <v>0.2375750251238995</v>
      </c>
      <c r="N47" s="30">
        <f t="shared" ref="N47" si="31">+N46/M46-1</f>
        <v>0.21537581459140598</v>
      </c>
    </row>
    <row r="48" spans="1:22" x14ac:dyDescent="0.2">
      <c r="B48" s="26" t="s">
        <v>523</v>
      </c>
      <c r="C48" s="269">
        <v>1.4999999999999999E-2</v>
      </c>
      <c r="H48" s="30">
        <f>+H42</f>
        <v>3.2237714666666667E-2</v>
      </c>
      <c r="I48" s="157">
        <f>+H48+$C48</f>
        <v>4.7237714666666666E-2</v>
      </c>
      <c r="J48" s="30">
        <f t="shared" ref="J48:N48" si="32">+I48+$C48</f>
        <v>6.2237714666666666E-2</v>
      </c>
      <c r="K48" s="30">
        <f t="shared" si="32"/>
        <v>7.7237714666666665E-2</v>
      </c>
      <c r="L48" s="30">
        <f t="shared" si="32"/>
        <v>9.2237714666666665E-2</v>
      </c>
      <c r="M48" s="30">
        <f t="shared" si="32"/>
        <v>0.10723771466666666</v>
      </c>
      <c r="N48" s="30">
        <f t="shared" si="32"/>
        <v>0.12223771466666666</v>
      </c>
    </row>
    <row r="49" spans="1:22" x14ac:dyDescent="0.2">
      <c r="B49" s="19" t="s">
        <v>619</v>
      </c>
      <c r="H49" s="313">
        <f>+H46-SUMIFS(North!14:14,North!3:3,H$3)</f>
        <v>0</v>
      </c>
      <c r="I49" s="313">
        <f ca="1">+I46-SUMIFS(North!14:14,North!3:3,I$3)</f>
        <v>110.17262127292992</v>
      </c>
      <c r="J49" s="313">
        <f ca="1">+J46-SUMIFS(North!14:14,North!3:3,J$3)</f>
        <v>234.82323538984781</v>
      </c>
      <c r="K49" s="313">
        <f ca="1">+K46-SUMIFS(North!14:14,North!3:3,K$3)</f>
        <v>375.37300176200074</v>
      </c>
      <c r="L49" s="313">
        <f ca="1">+L46-SUMIFS(North!14:14,North!3:3,L$3)</f>
        <v>533.36668880354853</v>
      </c>
      <c r="M49" s="313">
        <f ca="1">+M46-SUMIFS(North!14:14,North!3:3,M$3)</f>
        <v>710.48272817945985</v>
      </c>
      <c r="N49" s="313">
        <f ca="1">+N46-SUMIFS(North!14:14,North!3:3,N$3)</f>
        <v>913.25801983591305</v>
      </c>
    </row>
    <row r="51" spans="1:22" s="35" customFormat="1" x14ac:dyDescent="0.2">
      <c r="A51" s="17" t="s">
        <v>75</v>
      </c>
      <c r="B51" s="36" t="s">
        <v>280</v>
      </c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</row>
    <row r="52" spans="1:22" x14ac:dyDescent="0.2">
      <c r="B52" s="1" t="s">
        <v>279</v>
      </c>
      <c r="G52" s="137">
        <v>38.5</v>
      </c>
      <c r="H52" s="139">
        <f t="shared" ref="H52:R52" si="33">+G52*(1+$V52)</f>
        <v>39.462499999999999</v>
      </c>
      <c r="I52" s="139">
        <f t="shared" si="33"/>
        <v>40.449062499999997</v>
      </c>
      <c r="J52" s="139">
        <f t="shared" si="33"/>
        <v>41.460289062499996</v>
      </c>
      <c r="K52" s="139">
        <f t="shared" si="33"/>
        <v>42.496796289062495</v>
      </c>
      <c r="L52" s="139">
        <f t="shared" si="33"/>
        <v>43.55921619628905</v>
      </c>
      <c r="M52" s="139">
        <f t="shared" si="33"/>
        <v>44.648196601196275</v>
      </c>
      <c r="N52" s="139">
        <f t="shared" si="33"/>
        <v>45.764401516226179</v>
      </c>
      <c r="O52" s="139">
        <f t="shared" si="33"/>
        <v>46.908511554131827</v>
      </c>
      <c r="P52" s="139">
        <f t="shared" si="33"/>
        <v>48.081224342985116</v>
      </c>
      <c r="Q52" s="139">
        <f t="shared" si="33"/>
        <v>49.283254951559741</v>
      </c>
      <c r="R52" s="139">
        <f t="shared" si="33"/>
        <v>50.515336325348727</v>
      </c>
      <c r="S52" s="139"/>
      <c r="U52" s="97">
        <f>+(R52/H52)-1</f>
        <v>0.28008454419635687</v>
      </c>
      <c r="V52" s="138">
        <v>2.5000000000000001E-2</v>
      </c>
    </row>
    <row r="54" spans="1:22" s="35" customFormat="1" x14ac:dyDescent="0.2">
      <c r="A54" s="17" t="s">
        <v>75</v>
      </c>
      <c r="B54" s="36" t="s">
        <v>282</v>
      </c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</row>
    <row r="55" spans="1:22" x14ac:dyDescent="0.2">
      <c r="B55" s="1" t="s">
        <v>283</v>
      </c>
      <c r="G55" s="137">
        <v>97.4</v>
      </c>
      <c r="H55" s="137">
        <v>100</v>
      </c>
      <c r="I55" s="137">
        <v>103.9</v>
      </c>
      <c r="J55" s="137">
        <v>108.5</v>
      </c>
      <c r="K55" s="137">
        <v>112.1</v>
      </c>
      <c r="L55" s="137">
        <v>115.8</v>
      </c>
      <c r="M55" s="137">
        <v>119.4</v>
      </c>
      <c r="N55" s="137">
        <v>123.2</v>
      </c>
      <c r="O55" s="137">
        <v>127.1</v>
      </c>
      <c r="P55" s="137">
        <v>131.4</v>
      </c>
      <c r="Q55" s="137">
        <v>135.9</v>
      </c>
      <c r="R55" s="137">
        <v>140.5</v>
      </c>
      <c r="U55" s="97">
        <f>+(R55/H55)-1</f>
        <v>0.40500000000000003</v>
      </c>
      <c r="V55" s="97">
        <f>+(R55/H55)^(1/10)-1</f>
        <v>3.4588466024104259E-2</v>
      </c>
    </row>
    <row r="56" spans="1:22" x14ac:dyDescent="0.2">
      <c r="B56" s="1" t="s">
        <v>285</v>
      </c>
      <c r="G56" s="140">
        <f t="shared" ref="G56:Q56" si="34">+G57-G55</f>
        <v>67.199999999999989</v>
      </c>
      <c r="H56" s="140">
        <f t="shared" si="34"/>
        <v>67.900000000000006</v>
      </c>
      <c r="I56" s="140">
        <f t="shared" si="34"/>
        <v>69</v>
      </c>
      <c r="J56" s="140">
        <f t="shared" si="34"/>
        <v>70.400000000000006</v>
      </c>
      <c r="K56" s="140">
        <f t="shared" si="34"/>
        <v>71.700000000000017</v>
      </c>
      <c r="L56" s="140">
        <f t="shared" si="34"/>
        <v>72.7</v>
      </c>
      <c r="M56" s="140">
        <f t="shared" si="34"/>
        <v>73.799999999999983</v>
      </c>
      <c r="N56" s="140">
        <f t="shared" si="34"/>
        <v>74.7</v>
      </c>
      <c r="O56" s="140">
        <f t="shared" si="34"/>
        <v>75.700000000000017</v>
      </c>
      <c r="P56" s="140">
        <f t="shared" si="34"/>
        <v>76.799999999999983</v>
      </c>
      <c r="Q56" s="140">
        <f t="shared" si="34"/>
        <v>77.599999999999994</v>
      </c>
      <c r="R56" s="140">
        <f>+R57-R55</f>
        <v>78.699999999999989</v>
      </c>
      <c r="U56" s="97">
        <f>+(R56/H56)-1</f>
        <v>0.15905743740795253</v>
      </c>
    </row>
    <row r="57" spans="1:22" s="2" customFormat="1" x14ac:dyDescent="0.2">
      <c r="B57" s="18" t="s">
        <v>284</v>
      </c>
      <c r="G57" s="141">
        <v>164.6</v>
      </c>
      <c r="H57" s="141">
        <v>167.9</v>
      </c>
      <c r="I57" s="141">
        <v>172.9</v>
      </c>
      <c r="J57" s="141">
        <v>178.9</v>
      </c>
      <c r="K57" s="141">
        <v>183.8</v>
      </c>
      <c r="L57" s="141">
        <v>188.5</v>
      </c>
      <c r="M57" s="141">
        <v>193.2</v>
      </c>
      <c r="N57" s="141">
        <v>197.9</v>
      </c>
      <c r="O57" s="141">
        <v>202.8</v>
      </c>
      <c r="P57" s="141">
        <v>208.2</v>
      </c>
      <c r="Q57" s="141">
        <v>213.5</v>
      </c>
      <c r="R57" s="141">
        <v>219.2</v>
      </c>
      <c r="U57" s="97">
        <f>+(R57/H57)-1</f>
        <v>0.30553901131625949</v>
      </c>
      <c r="V57" s="97">
        <f>+(R57/H57)^(1/10)-1</f>
        <v>2.7020199391377675E-2</v>
      </c>
    </row>
  </sheetData>
  <conditionalFormatting sqref="C1">
    <cfRule type="cellIs" dxfId="7" priority="2" operator="equal">
      <formula>"OK"</formula>
    </cfRule>
  </conditionalFormatting>
  <conditionalFormatting sqref="C1">
    <cfRule type="cellIs" dxfId="6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3306-0A01-4C76-BA1B-5A0D4A393273}">
  <sheetPr>
    <tabColor theme="1" tint="0.499984740745262"/>
  </sheetPr>
  <dimension ref="A1:D33"/>
  <sheetViews>
    <sheetView zoomScale="85" zoomScaleNormal="85" workbookViewId="0">
      <pane xSplit="2" ySplit="2" topLeftCell="C3" activePane="bottomRight" state="frozen"/>
      <selection activeCell="V35" sqref="V35"/>
      <selection pane="topRight" activeCell="V35" sqref="V35"/>
      <selection pane="bottomLeft" activeCell="V35" sqref="V35"/>
      <selection pane="bottomRight"/>
    </sheetView>
  </sheetViews>
  <sheetFormatPr defaultRowHeight="12.75" x14ac:dyDescent="0.2"/>
  <cols>
    <col min="1" max="1" width="2.42578125" style="1" customWidth="1"/>
    <col min="2" max="2" width="33" style="1" customWidth="1"/>
    <col min="3" max="16384" width="9.140625" style="1"/>
  </cols>
  <sheetData>
    <row r="1" spans="1: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4" s="5" customFormat="1" ht="16.5" x14ac:dyDescent="0.3">
      <c r="A2" s="6" t="s">
        <v>163</v>
      </c>
      <c r="D2" s="211">
        <f ca="1">+Ctrl!G10</f>
        <v>0.32102203236261162</v>
      </c>
    </row>
    <row r="4" spans="1:4" x14ac:dyDescent="0.2">
      <c r="B4" s="36" t="s">
        <v>162</v>
      </c>
      <c r="C4" s="36"/>
      <c r="D4" s="36"/>
    </row>
    <row r="5" spans="1:4" x14ac:dyDescent="0.2">
      <c r="B5" s="50" t="s">
        <v>170</v>
      </c>
      <c r="C5" s="51" t="s">
        <v>164</v>
      </c>
      <c r="D5" s="52">
        <v>600</v>
      </c>
    </row>
    <row r="6" spans="1:4" x14ac:dyDescent="0.2">
      <c r="B6" s="53" t="s">
        <v>171</v>
      </c>
      <c r="C6" s="54" t="s">
        <v>177</v>
      </c>
      <c r="D6" s="55">
        <v>5.9499999999999997E-2</v>
      </c>
    </row>
    <row r="7" spans="1:4" x14ac:dyDescent="0.2">
      <c r="B7" s="56" t="s">
        <v>172</v>
      </c>
      <c r="C7" s="57" t="s">
        <v>178</v>
      </c>
      <c r="D7" s="58" t="s">
        <v>176</v>
      </c>
    </row>
    <row r="9" spans="1:4" x14ac:dyDescent="0.2">
      <c r="B9" s="36" t="s">
        <v>168</v>
      </c>
      <c r="C9" s="36"/>
      <c r="D9" s="36"/>
    </row>
    <row r="10" spans="1:4" x14ac:dyDescent="0.2">
      <c r="B10" s="50" t="s">
        <v>170</v>
      </c>
      <c r="C10" s="51" t="s">
        <v>164</v>
      </c>
      <c r="D10" s="52">
        <v>425</v>
      </c>
    </row>
    <row r="11" spans="1:4" x14ac:dyDescent="0.2">
      <c r="B11" s="53" t="s">
        <v>171</v>
      </c>
      <c r="C11" s="54" t="s">
        <v>177</v>
      </c>
      <c r="D11" s="55">
        <v>4.9500000000000002E-2</v>
      </c>
    </row>
    <row r="12" spans="1:4" x14ac:dyDescent="0.2">
      <c r="B12" s="53" t="s">
        <v>179</v>
      </c>
      <c r="C12" s="54" t="s">
        <v>178</v>
      </c>
      <c r="D12" s="59" t="s">
        <v>174</v>
      </c>
    </row>
    <row r="13" spans="1:4" x14ac:dyDescent="0.2">
      <c r="B13" s="56" t="s">
        <v>172</v>
      </c>
      <c r="C13" s="57" t="s">
        <v>178</v>
      </c>
      <c r="D13" s="58" t="s">
        <v>173</v>
      </c>
    </row>
    <row r="15" spans="1:4" x14ac:dyDescent="0.2">
      <c r="B15" s="36" t="s">
        <v>180</v>
      </c>
      <c r="C15" s="36"/>
      <c r="D15" s="36"/>
    </row>
    <row r="16" spans="1:4" x14ac:dyDescent="0.2">
      <c r="B16" s="50" t="s">
        <v>170</v>
      </c>
      <c r="C16" s="51" t="s">
        <v>164</v>
      </c>
      <c r="D16" s="52">
        <v>144.64400000000001</v>
      </c>
    </row>
    <row r="17" spans="2:4" x14ac:dyDescent="0.2">
      <c r="B17" s="53" t="s">
        <v>190</v>
      </c>
      <c r="C17" s="54"/>
      <c r="D17" s="66">
        <f>+D16*(1-D19*3)</f>
        <v>131.62604000000002</v>
      </c>
    </row>
    <row r="18" spans="2:4" x14ac:dyDescent="0.2">
      <c r="B18" s="53" t="s">
        <v>171</v>
      </c>
      <c r="C18" s="60"/>
      <c r="D18" s="55">
        <f>+(2.5+3.9)/200</f>
        <v>3.2000000000000001E-2</v>
      </c>
    </row>
    <row r="19" spans="2:4" x14ac:dyDescent="0.2">
      <c r="B19" s="53" t="s">
        <v>188</v>
      </c>
      <c r="C19" s="60"/>
      <c r="D19" s="65">
        <v>0.03</v>
      </c>
    </row>
    <row r="20" spans="2:4" x14ac:dyDescent="0.2">
      <c r="B20" s="53" t="s">
        <v>179</v>
      </c>
      <c r="C20" s="60"/>
      <c r="D20" s="59" t="s">
        <v>189</v>
      </c>
    </row>
    <row r="21" spans="2:4" x14ac:dyDescent="0.2">
      <c r="B21" s="56" t="s">
        <v>172</v>
      </c>
      <c r="C21" s="61"/>
      <c r="D21" s="58" t="s">
        <v>181</v>
      </c>
    </row>
    <row r="23" spans="2:4" x14ac:dyDescent="0.2">
      <c r="B23" s="36" t="s">
        <v>321</v>
      </c>
      <c r="C23" s="36"/>
      <c r="D23" s="36"/>
    </row>
    <row r="24" spans="2:4" x14ac:dyDescent="0.2">
      <c r="B24" s="50" t="s">
        <v>170</v>
      </c>
      <c r="C24" s="51" t="s">
        <v>164</v>
      </c>
      <c r="D24" s="165" t="s">
        <v>147</v>
      </c>
    </row>
    <row r="25" spans="2:4" x14ac:dyDescent="0.2">
      <c r="B25" s="53" t="s">
        <v>171</v>
      </c>
      <c r="C25" s="54" t="s">
        <v>177</v>
      </c>
      <c r="D25" s="55">
        <v>5.5E-2</v>
      </c>
    </row>
    <row r="26" spans="2:4" x14ac:dyDescent="0.2">
      <c r="B26" s="56" t="s">
        <v>172</v>
      </c>
      <c r="C26" s="57" t="s">
        <v>178</v>
      </c>
      <c r="D26" s="58" t="s">
        <v>147</v>
      </c>
    </row>
    <row r="28" spans="2:4" x14ac:dyDescent="0.2">
      <c r="B28" s="36" t="s">
        <v>374</v>
      </c>
      <c r="C28" s="36"/>
      <c r="D28" s="36"/>
    </row>
    <row r="29" spans="2:4" x14ac:dyDescent="0.2">
      <c r="B29" s="50" t="s">
        <v>375</v>
      </c>
      <c r="C29" s="51" t="s">
        <v>240</v>
      </c>
      <c r="D29" s="195">
        <f ca="1">+Ctrl!G85</f>
        <v>1</v>
      </c>
    </row>
    <row r="30" spans="2:4" x14ac:dyDescent="0.2">
      <c r="B30" s="53" t="s">
        <v>170</v>
      </c>
      <c r="C30" s="54" t="s">
        <v>164</v>
      </c>
      <c r="D30" s="334">
        <f ca="1">+Ctrl!$G$86</f>
        <v>175</v>
      </c>
    </row>
    <row r="31" spans="2:4" x14ac:dyDescent="0.2">
      <c r="B31" s="53" t="s">
        <v>171</v>
      </c>
      <c r="C31" s="54" t="s">
        <v>177</v>
      </c>
      <c r="D31" s="192">
        <f ca="1">+Ctrl!G88</f>
        <v>4.4999999999999998E-2</v>
      </c>
    </row>
    <row r="32" spans="2:4" x14ac:dyDescent="0.2">
      <c r="B32" s="53" t="s">
        <v>179</v>
      </c>
      <c r="C32" s="54" t="s">
        <v>178</v>
      </c>
      <c r="D32" s="193" t="str">
        <f ca="1">+Ctrl!G87</f>
        <v>1Q22</v>
      </c>
    </row>
    <row r="33" spans="2:4" x14ac:dyDescent="0.2">
      <c r="B33" s="56" t="s">
        <v>172</v>
      </c>
      <c r="C33" s="57" t="s">
        <v>178</v>
      </c>
      <c r="D33" s="194" t="str">
        <f ca="1">+Ctrl!G89</f>
        <v>1Q32</v>
      </c>
    </row>
  </sheetData>
  <conditionalFormatting sqref="C1">
    <cfRule type="cellIs" dxfId="5" priority="2" operator="equal">
      <formula>"OK"</formula>
    </cfRule>
  </conditionalFormatting>
  <conditionalFormatting sqref="C1">
    <cfRule type="cellIs" dxfId="4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A35DA-D180-46F7-85B5-F56E9929CAB9}">
  <sheetPr>
    <tabColor theme="1" tint="0.499984740745262"/>
  </sheetPr>
  <dimension ref="A1:BB39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x14ac:dyDescent="0.2"/>
  <cols>
    <col min="1" max="1" width="2.42578125" style="1" customWidth="1"/>
    <col min="2" max="2" width="33" style="1" customWidth="1"/>
    <col min="3" max="52" width="9.140625" style="1"/>
    <col min="53" max="53" width="3.42578125" style="1" customWidth="1"/>
    <col min="54" max="16384" width="9.140625" style="1"/>
  </cols>
  <sheetData>
    <row r="1" spans="1:5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4" s="5" customFormat="1" ht="16.5" x14ac:dyDescent="0.3">
      <c r="A2" s="6" t="s">
        <v>184</v>
      </c>
      <c r="D2" s="211">
        <f ca="1">+Ctrl!G10</f>
        <v>0.32102203236261162</v>
      </c>
    </row>
    <row r="3" spans="1:54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O3" s="8"/>
      <c r="Q3" s="8" t="str">
        <f t="shared" ref="Q3:AC3" si="1">+MONTH(Q5)/3&amp;"Q"&amp;RIGHT(YEAR(Q5),2)</f>
        <v>1Q18</v>
      </c>
      <c r="R3" s="8" t="str">
        <f t="shared" si="1"/>
        <v>2Q18</v>
      </c>
      <c r="S3" s="8" t="str">
        <f t="shared" si="1"/>
        <v>3Q18</v>
      </c>
      <c r="T3" s="8" t="str">
        <f t="shared" si="1"/>
        <v>4Q18</v>
      </c>
      <c r="U3" s="8" t="str">
        <f t="shared" si="1"/>
        <v>1Q19</v>
      </c>
      <c r="V3" s="8" t="str">
        <f t="shared" si="1"/>
        <v>2Q19</v>
      </c>
      <c r="W3" s="8" t="str">
        <f t="shared" si="1"/>
        <v>3Q19</v>
      </c>
      <c r="X3" s="8" t="str">
        <f t="shared" si="1"/>
        <v>4Q19</v>
      </c>
      <c r="Y3" s="8" t="str">
        <f t="shared" si="1"/>
        <v>1Q20</v>
      </c>
      <c r="Z3" s="8" t="str">
        <f t="shared" si="1"/>
        <v>2Q20</v>
      </c>
      <c r="AA3" s="8" t="str">
        <f t="shared" si="1"/>
        <v>3Q20</v>
      </c>
      <c r="AB3" s="8" t="str">
        <f t="shared" si="1"/>
        <v>4Q20</v>
      </c>
      <c r="AC3" s="8" t="str">
        <f t="shared" si="1"/>
        <v>1Q21</v>
      </c>
      <c r="AD3" s="8" t="str">
        <f t="shared" ref="AD3:AU3" si="2">+MONTH(AD5)/3&amp;"Q"&amp;RIGHT(YEAR(AD5),2)</f>
        <v>2Q21</v>
      </c>
      <c r="AE3" s="8" t="str">
        <f t="shared" si="2"/>
        <v>3Q21</v>
      </c>
      <c r="AF3" s="8" t="str">
        <f t="shared" si="2"/>
        <v>4Q21</v>
      </c>
      <c r="AG3" s="8" t="str">
        <f t="shared" si="2"/>
        <v>1Q22</v>
      </c>
      <c r="AH3" s="8" t="str">
        <f t="shared" si="2"/>
        <v>2Q22</v>
      </c>
      <c r="AI3" s="8" t="str">
        <f t="shared" si="2"/>
        <v>3Q22</v>
      </c>
      <c r="AJ3" s="8" t="str">
        <f t="shared" si="2"/>
        <v>4Q22</v>
      </c>
      <c r="AK3" s="8" t="str">
        <f t="shared" si="2"/>
        <v>1Q23</v>
      </c>
      <c r="AL3" s="8" t="str">
        <f t="shared" si="2"/>
        <v>2Q23</v>
      </c>
      <c r="AM3" s="8" t="str">
        <f t="shared" si="2"/>
        <v>3Q23</v>
      </c>
      <c r="AN3" s="8" t="str">
        <f t="shared" si="2"/>
        <v>4Q23</v>
      </c>
      <c r="AO3" s="8" t="str">
        <f t="shared" si="2"/>
        <v>1Q24</v>
      </c>
      <c r="AP3" s="8" t="str">
        <f t="shared" si="2"/>
        <v>2Q24</v>
      </c>
      <c r="AQ3" s="8" t="str">
        <f t="shared" si="2"/>
        <v>3Q24</v>
      </c>
      <c r="AR3" s="8" t="str">
        <f t="shared" si="2"/>
        <v>4Q24</v>
      </c>
      <c r="AS3" s="8" t="str">
        <f t="shared" si="2"/>
        <v>1Q25</v>
      </c>
      <c r="AT3" s="8" t="str">
        <f t="shared" si="2"/>
        <v>2Q25</v>
      </c>
      <c r="AU3" s="8" t="str">
        <f t="shared" si="2"/>
        <v>3Q25</v>
      </c>
      <c r="AV3" s="8" t="str">
        <f>+MONTH(AV5)/3&amp;"Q"&amp;RIGHT(YEAR(AV5),2)</f>
        <v>4Q25</v>
      </c>
      <c r="AW3" s="8" t="str">
        <f>+MONTH(AW5)/3&amp;"Q"&amp;RIGHT(YEAR(AW5),2)</f>
        <v>1Q26</v>
      </c>
      <c r="AX3" s="8" t="str">
        <f>+MONTH(AX5)/3&amp;"Q"&amp;RIGHT(YEAR(AX5),2)</f>
        <v>2Q26</v>
      </c>
      <c r="AY3" s="8" t="str">
        <f>+MONTH(AY5)/3&amp;"Q"&amp;RIGHT(YEAR(AY5),2)</f>
        <v>3Q26</v>
      </c>
      <c r="AZ3" s="8" t="str">
        <f>+MONTH(AZ5)/3&amp;"Q"&amp;RIGHT(YEAR(AZ5),2)</f>
        <v>4Q26</v>
      </c>
      <c r="BA3" s="8" t="s">
        <v>75</v>
      </c>
      <c r="BB3" s="8"/>
    </row>
    <row r="4" spans="1:54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3">+H5+1</f>
        <v>44197</v>
      </c>
      <c r="J4" s="7">
        <f t="shared" si="3"/>
        <v>44562</v>
      </c>
      <c r="K4" s="7">
        <f t="shared" si="3"/>
        <v>44927</v>
      </c>
      <c r="L4" s="7">
        <f t="shared" si="3"/>
        <v>45292</v>
      </c>
      <c r="M4" s="7">
        <f t="shared" si="3"/>
        <v>45658</v>
      </c>
      <c r="N4" s="7">
        <f t="shared" si="3"/>
        <v>46023</v>
      </c>
      <c r="O4" s="7"/>
      <c r="Q4" s="10">
        <v>43101</v>
      </c>
      <c r="R4" s="7">
        <f t="shared" ref="R4:X4" si="4">+Q5+1</f>
        <v>43191</v>
      </c>
      <c r="S4" s="7">
        <f t="shared" si="4"/>
        <v>43282</v>
      </c>
      <c r="T4" s="7">
        <f t="shared" si="4"/>
        <v>43374</v>
      </c>
      <c r="U4" s="7">
        <f t="shared" si="4"/>
        <v>43466</v>
      </c>
      <c r="V4" s="7">
        <f t="shared" si="4"/>
        <v>43556</v>
      </c>
      <c r="W4" s="7">
        <f t="shared" si="4"/>
        <v>43647</v>
      </c>
      <c r="X4" s="7">
        <f t="shared" si="4"/>
        <v>43739</v>
      </c>
      <c r="Y4" s="7">
        <f t="shared" ref="Y4:AZ4" si="5">+X5+1</f>
        <v>43831</v>
      </c>
      <c r="Z4" s="7">
        <f t="shared" si="5"/>
        <v>43922</v>
      </c>
      <c r="AA4" s="7">
        <f t="shared" si="5"/>
        <v>44013</v>
      </c>
      <c r="AB4" s="7">
        <f t="shared" si="5"/>
        <v>44105</v>
      </c>
      <c r="AC4" s="7">
        <f t="shared" si="5"/>
        <v>44197</v>
      </c>
      <c r="AD4" s="7">
        <f t="shared" si="5"/>
        <v>44287</v>
      </c>
      <c r="AE4" s="7">
        <f t="shared" si="5"/>
        <v>44378</v>
      </c>
      <c r="AF4" s="7">
        <f t="shared" si="5"/>
        <v>44470</v>
      </c>
      <c r="AG4" s="7">
        <f t="shared" si="5"/>
        <v>44562</v>
      </c>
      <c r="AH4" s="7">
        <f t="shared" si="5"/>
        <v>44652</v>
      </c>
      <c r="AI4" s="7">
        <f t="shared" si="5"/>
        <v>44743</v>
      </c>
      <c r="AJ4" s="7">
        <f t="shared" si="5"/>
        <v>44835</v>
      </c>
      <c r="AK4" s="7">
        <f t="shared" si="5"/>
        <v>44927</v>
      </c>
      <c r="AL4" s="7">
        <f t="shared" si="5"/>
        <v>45017</v>
      </c>
      <c r="AM4" s="7">
        <f t="shared" si="5"/>
        <v>45108</v>
      </c>
      <c r="AN4" s="7">
        <f t="shared" si="5"/>
        <v>45200</v>
      </c>
      <c r="AO4" s="7">
        <f t="shared" si="5"/>
        <v>45292</v>
      </c>
      <c r="AP4" s="7">
        <f t="shared" si="5"/>
        <v>45383</v>
      </c>
      <c r="AQ4" s="7">
        <f t="shared" si="5"/>
        <v>45474</v>
      </c>
      <c r="AR4" s="7">
        <f t="shared" si="5"/>
        <v>45566</v>
      </c>
      <c r="AS4" s="7">
        <f t="shared" si="5"/>
        <v>45658</v>
      </c>
      <c r="AT4" s="7">
        <f t="shared" si="5"/>
        <v>45748</v>
      </c>
      <c r="AU4" s="7">
        <f t="shared" si="5"/>
        <v>45839</v>
      </c>
      <c r="AV4" s="7">
        <f t="shared" si="5"/>
        <v>45931</v>
      </c>
      <c r="AW4" s="7">
        <f t="shared" si="5"/>
        <v>46023</v>
      </c>
      <c r="AX4" s="7">
        <f t="shared" si="5"/>
        <v>46113</v>
      </c>
      <c r="AY4" s="7">
        <f t="shared" si="5"/>
        <v>46204</v>
      </c>
      <c r="AZ4" s="7">
        <f t="shared" si="5"/>
        <v>46296</v>
      </c>
      <c r="BA4" s="8" t="s">
        <v>75</v>
      </c>
      <c r="BB4" s="7"/>
    </row>
    <row r="5" spans="1:54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6">+EOMONTH(I4,11)</f>
        <v>44561</v>
      </c>
      <c r="J5" s="7">
        <f t="shared" si="6"/>
        <v>44926</v>
      </c>
      <c r="K5" s="7">
        <f t="shared" si="6"/>
        <v>45291</v>
      </c>
      <c r="L5" s="7">
        <f t="shared" si="6"/>
        <v>45657</v>
      </c>
      <c r="M5" s="7">
        <f t="shared" si="6"/>
        <v>46022</v>
      </c>
      <c r="N5" s="7">
        <f t="shared" si="6"/>
        <v>46387</v>
      </c>
      <c r="O5" s="7"/>
      <c r="Q5" s="7">
        <f t="shared" ref="Q5:X5" si="7">+EOMONTH(Q4,2)</f>
        <v>43190</v>
      </c>
      <c r="R5" s="7">
        <f t="shared" si="7"/>
        <v>43281</v>
      </c>
      <c r="S5" s="7">
        <f t="shared" si="7"/>
        <v>43373</v>
      </c>
      <c r="T5" s="7">
        <f t="shared" si="7"/>
        <v>43465</v>
      </c>
      <c r="U5" s="7">
        <f t="shared" si="7"/>
        <v>43555</v>
      </c>
      <c r="V5" s="7">
        <f t="shared" si="7"/>
        <v>43646</v>
      </c>
      <c r="W5" s="7">
        <f t="shared" si="7"/>
        <v>43738</v>
      </c>
      <c r="X5" s="7">
        <f t="shared" si="7"/>
        <v>43830</v>
      </c>
      <c r="Y5" s="7">
        <f t="shared" ref="Y5:AZ5" si="8">+EOMONTH(Y4,2)</f>
        <v>43921</v>
      </c>
      <c r="Z5" s="7">
        <f t="shared" si="8"/>
        <v>44012</v>
      </c>
      <c r="AA5" s="7">
        <f t="shared" si="8"/>
        <v>44104</v>
      </c>
      <c r="AB5" s="7">
        <f t="shared" si="8"/>
        <v>44196</v>
      </c>
      <c r="AC5" s="7">
        <f t="shared" si="8"/>
        <v>44286</v>
      </c>
      <c r="AD5" s="7">
        <f t="shared" si="8"/>
        <v>44377</v>
      </c>
      <c r="AE5" s="7">
        <f t="shared" si="8"/>
        <v>44469</v>
      </c>
      <c r="AF5" s="7">
        <f t="shared" si="8"/>
        <v>44561</v>
      </c>
      <c r="AG5" s="7">
        <f t="shared" si="8"/>
        <v>44651</v>
      </c>
      <c r="AH5" s="7">
        <f t="shared" si="8"/>
        <v>44742</v>
      </c>
      <c r="AI5" s="7">
        <f t="shared" si="8"/>
        <v>44834</v>
      </c>
      <c r="AJ5" s="7">
        <f t="shared" si="8"/>
        <v>44926</v>
      </c>
      <c r="AK5" s="7">
        <f t="shared" si="8"/>
        <v>45016</v>
      </c>
      <c r="AL5" s="7">
        <f t="shared" si="8"/>
        <v>45107</v>
      </c>
      <c r="AM5" s="7">
        <f t="shared" si="8"/>
        <v>45199</v>
      </c>
      <c r="AN5" s="7">
        <f t="shared" si="8"/>
        <v>45291</v>
      </c>
      <c r="AO5" s="7">
        <f t="shared" si="8"/>
        <v>45382</v>
      </c>
      <c r="AP5" s="7">
        <f t="shared" si="8"/>
        <v>45473</v>
      </c>
      <c r="AQ5" s="7">
        <f t="shared" si="8"/>
        <v>45565</v>
      </c>
      <c r="AR5" s="7">
        <f t="shared" si="8"/>
        <v>45657</v>
      </c>
      <c r="AS5" s="7">
        <f t="shared" si="8"/>
        <v>45747</v>
      </c>
      <c r="AT5" s="7">
        <f t="shared" si="8"/>
        <v>45838</v>
      </c>
      <c r="AU5" s="7">
        <f t="shared" si="8"/>
        <v>45930</v>
      </c>
      <c r="AV5" s="7">
        <f t="shared" si="8"/>
        <v>46022</v>
      </c>
      <c r="AW5" s="7">
        <f t="shared" si="8"/>
        <v>46112</v>
      </c>
      <c r="AX5" s="7">
        <f t="shared" si="8"/>
        <v>46203</v>
      </c>
      <c r="AY5" s="7">
        <f t="shared" si="8"/>
        <v>46295</v>
      </c>
      <c r="AZ5" s="7">
        <f t="shared" si="8"/>
        <v>46387</v>
      </c>
      <c r="BA5" s="8" t="s">
        <v>75</v>
      </c>
      <c r="BB5" s="7"/>
    </row>
    <row r="6" spans="1:54" outlineLevel="1" x14ac:dyDescent="0.2">
      <c r="A6" s="1" t="s">
        <v>0</v>
      </c>
      <c r="Q6" s="1">
        <f>+YEAR(Q5)</f>
        <v>2018</v>
      </c>
      <c r="R6" s="1">
        <f t="shared" ref="R6:AC6" si="9">+YEAR(R5)</f>
        <v>2018</v>
      </c>
      <c r="S6" s="1">
        <f t="shared" si="9"/>
        <v>2018</v>
      </c>
      <c r="T6" s="1">
        <f t="shared" si="9"/>
        <v>2018</v>
      </c>
      <c r="U6" s="1">
        <f t="shared" si="9"/>
        <v>2019</v>
      </c>
      <c r="V6" s="1">
        <f t="shared" si="9"/>
        <v>2019</v>
      </c>
      <c r="W6" s="1">
        <f t="shared" si="9"/>
        <v>2019</v>
      </c>
      <c r="X6" s="1">
        <f t="shared" si="9"/>
        <v>2019</v>
      </c>
      <c r="Y6" s="1">
        <f t="shared" si="9"/>
        <v>2020</v>
      </c>
      <c r="Z6" s="1">
        <f t="shared" si="9"/>
        <v>2020</v>
      </c>
      <c r="AA6" s="1">
        <f t="shared" si="9"/>
        <v>2020</v>
      </c>
      <c r="AB6" s="1">
        <f t="shared" si="9"/>
        <v>2020</v>
      </c>
      <c r="AC6" s="1">
        <f t="shared" si="9"/>
        <v>2021</v>
      </c>
      <c r="AD6" s="1">
        <f t="shared" ref="AD6:AZ6" si="10">+YEAR(AD5)</f>
        <v>2021</v>
      </c>
      <c r="AE6" s="1">
        <f t="shared" si="10"/>
        <v>2021</v>
      </c>
      <c r="AF6" s="1">
        <f t="shared" si="10"/>
        <v>2021</v>
      </c>
      <c r="AG6" s="1">
        <f t="shared" si="10"/>
        <v>2022</v>
      </c>
      <c r="AH6" s="1">
        <f t="shared" si="10"/>
        <v>2022</v>
      </c>
      <c r="AI6" s="1">
        <f t="shared" si="10"/>
        <v>2022</v>
      </c>
      <c r="AJ6" s="1">
        <f t="shared" si="10"/>
        <v>2022</v>
      </c>
      <c r="AK6" s="1">
        <f t="shared" si="10"/>
        <v>2023</v>
      </c>
      <c r="AL6" s="1">
        <f t="shared" si="10"/>
        <v>2023</v>
      </c>
      <c r="AM6" s="1">
        <f t="shared" si="10"/>
        <v>2023</v>
      </c>
      <c r="AN6" s="1">
        <f t="shared" si="10"/>
        <v>2023</v>
      </c>
      <c r="AO6" s="1">
        <f t="shared" si="10"/>
        <v>2024</v>
      </c>
      <c r="AP6" s="1">
        <f t="shared" si="10"/>
        <v>2024</v>
      </c>
      <c r="AQ6" s="1">
        <f t="shared" si="10"/>
        <v>2024</v>
      </c>
      <c r="AR6" s="1">
        <f t="shared" si="10"/>
        <v>2024</v>
      </c>
      <c r="AS6" s="1">
        <f t="shared" si="10"/>
        <v>2025</v>
      </c>
      <c r="AT6" s="1">
        <f t="shared" si="10"/>
        <v>2025</v>
      </c>
      <c r="AU6" s="1">
        <f t="shared" si="10"/>
        <v>2025</v>
      </c>
      <c r="AV6" s="1">
        <f t="shared" si="10"/>
        <v>2025</v>
      </c>
      <c r="AW6" s="1">
        <f t="shared" si="10"/>
        <v>2026</v>
      </c>
      <c r="AX6" s="1">
        <f t="shared" si="10"/>
        <v>2026</v>
      </c>
      <c r="AY6" s="1">
        <f t="shared" si="10"/>
        <v>2026</v>
      </c>
      <c r="AZ6" s="1">
        <f t="shared" si="10"/>
        <v>2026</v>
      </c>
      <c r="BA6" s="8" t="s">
        <v>75</v>
      </c>
    </row>
    <row r="7" spans="1:54" s="3" customFormat="1" x14ac:dyDescent="0.2">
      <c r="A7" s="17" t="s">
        <v>75</v>
      </c>
      <c r="B7" s="3" t="s">
        <v>185</v>
      </c>
      <c r="BA7" s="117" t="s">
        <v>75</v>
      </c>
    </row>
    <row r="8" spans="1:54" s="2" customFormat="1" x14ac:dyDescent="0.2">
      <c r="B8" s="2" t="s">
        <v>186</v>
      </c>
      <c r="C8" s="83">
        <v>1</v>
      </c>
      <c r="F8" s="277">
        <f t="shared" ref="F8:N10" ca="1" si="11">+SUMIFS(8:8,$3:$3,"4Q"&amp;RIGHT(F$3,2))</f>
        <v>3.8744999999999998</v>
      </c>
      <c r="G8" s="277">
        <f t="shared" ca="1" si="11"/>
        <v>4.0304000000000002</v>
      </c>
      <c r="H8" s="277">
        <f t="shared" ca="1" si="11"/>
        <v>5.1966999999999999</v>
      </c>
      <c r="I8" s="277">
        <f t="shared" ca="1" si="11"/>
        <v>5.714448603003647</v>
      </c>
      <c r="J8" s="277">
        <f t="shared" ca="1" si="11"/>
        <v>5.8290204509838093</v>
      </c>
      <c r="K8" s="277">
        <f t="shared" ca="1" si="11"/>
        <v>5.9458894074448638</v>
      </c>
      <c r="L8" s="277">
        <f t="shared" ca="1" si="11"/>
        <v>6.0651015282676068</v>
      </c>
      <c r="M8" s="277">
        <f t="shared" ca="1" si="11"/>
        <v>6.1867037927303015</v>
      </c>
      <c r="N8" s="277">
        <f t="shared" ca="1" si="11"/>
        <v>6.3107441220223386</v>
      </c>
      <c r="Q8" s="277">
        <f ca="1">+OFFSET(Q8,$C8,)</f>
        <v>3.3062999999999998</v>
      </c>
      <c r="R8" s="277">
        <f t="shared" ref="R8:AZ8" ca="1" si="12">+OFFSET(R8,$C8,)</f>
        <v>3.8765000000000001</v>
      </c>
      <c r="S8" s="277">
        <f t="shared" ca="1" si="12"/>
        <v>4.0492999999999997</v>
      </c>
      <c r="T8" s="277">
        <f t="shared" ca="1" si="12"/>
        <v>3.8744999999999998</v>
      </c>
      <c r="U8" s="277">
        <f t="shared" ca="1" si="12"/>
        <v>3.9205000000000001</v>
      </c>
      <c r="V8" s="277">
        <f t="shared" ca="1" si="12"/>
        <v>3.8498999999999999</v>
      </c>
      <c r="W8" s="277">
        <f t="shared" ca="1" si="12"/>
        <v>4.1562000000000001</v>
      </c>
      <c r="X8" s="277">
        <f t="shared" ca="1" si="12"/>
        <v>4.0304000000000002</v>
      </c>
      <c r="Y8" s="277">
        <f t="shared" ca="1" si="12"/>
        <v>5.2058999999999997</v>
      </c>
      <c r="Z8" s="277">
        <f t="shared" ca="1" si="12"/>
        <v>5.4676</v>
      </c>
      <c r="AA8" s="277">
        <f t="shared" ca="1" si="12"/>
        <v>5.6094999999999997</v>
      </c>
      <c r="AB8" s="277">
        <f t="shared" ca="1" si="12"/>
        <v>5.1966999999999999</v>
      </c>
      <c r="AC8" s="277">
        <f t="shared" ca="1" si="12"/>
        <v>5.63</v>
      </c>
      <c r="AD8" s="277">
        <f t="shared" ca="1" si="12"/>
        <v>5.6580099502487569</v>
      </c>
      <c r="AE8" s="277">
        <f t="shared" ca="1" si="12"/>
        <v>5.6861592534838259</v>
      </c>
      <c r="AF8" s="277">
        <f t="shared" ca="1" si="12"/>
        <v>5.714448603003647</v>
      </c>
      <c r="AG8" s="277">
        <f t="shared" ca="1" si="12"/>
        <v>5.7428786955559046</v>
      </c>
      <c r="AH8" s="277">
        <f t="shared" ca="1" si="12"/>
        <v>5.7714502313546907</v>
      </c>
      <c r="AI8" s="277">
        <f t="shared" ca="1" si="12"/>
        <v>5.8001639140977499</v>
      </c>
      <c r="AJ8" s="277">
        <f t="shared" ca="1" si="12"/>
        <v>5.8290204509838093</v>
      </c>
      <c r="AK8" s="277">
        <f t="shared" ca="1" si="12"/>
        <v>5.8580205527299976</v>
      </c>
      <c r="AL8" s="277">
        <f t="shared" ca="1" si="12"/>
        <v>5.8871649335893519</v>
      </c>
      <c r="AM8" s="277">
        <f t="shared" ca="1" si="12"/>
        <v>5.9164543113684038</v>
      </c>
      <c r="AN8" s="277">
        <f t="shared" ca="1" si="12"/>
        <v>5.9458894074448638</v>
      </c>
      <c r="AO8" s="277">
        <f t="shared" ca="1" si="12"/>
        <v>5.9754709467853857</v>
      </c>
      <c r="AP8" s="277">
        <f t="shared" ca="1" si="12"/>
        <v>6.0051996579634235</v>
      </c>
      <c r="AQ8" s="277">
        <f t="shared" ca="1" si="12"/>
        <v>6.0350762731771725</v>
      </c>
      <c r="AR8" s="277">
        <f t="shared" ca="1" si="12"/>
        <v>6.0651015282676068</v>
      </c>
      <c r="AS8" s="277">
        <f t="shared" ca="1" si="12"/>
        <v>6.0952761627366012</v>
      </c>
      <c r="AT8" s="277">
        <f t="shared" ca="1" si="12"/>
        <v>6.1256009197651418</v>
      </c>
      <c r="AU8" s="277">
        <f t="shared" ca="1" si="12"/>
        <v>6.1560765462316356</v>
      </c>
      <c r="AV8" s="277">
        <f t="shared" ca="1" si="12"/>
        <v>6.1867037927303015</v>
      </c>
      <c r="AW8" s="277">
        <f t="shared" ca="1" si="12"/>
        <v>6.2174834135896573</v>
      </c>
      <c r="AX8" s="277">
        <f t="shared" ca="1" si="12"/>
        <v>6.2484161668910998</v>
      </c>
      <c r="AY8" s="277">
        <f t="shared" ca="1" si="12"/>
        <v>6.2795028144875733</v>
      </c>
      <c r="AZ8" s="277">
        <f t="shared" ca="1" si="12"/>
        <v>6.3107441220223386</v>
      </c>
      <c r="BA8" s="8" t="s">
        <v>75</v>
      </c>
    </row>
    <row r="9" spans="1:54" x14ac:dyDescent="0.2">
      <c r="B9" s="19" t="s">
        <v>567</v>
      </c>
      <c r="F9" s="67">
        <f t="shared" si="11"/>
        <v>3.8744999999999998</v>
      </c>
      <c r="G9" s="67">
        <f t="shared" si="11"/>
        <v>4.0304000000000002</v>
      </c>
      <c r="H9" s="67">
        <f t="shared" si="11"/>
        <v>5.1966999999999999</v>
      </c>
      <c r="I9" s="67">
        <f t="shared" ca="1" si="11"/>
        <v>5.714448603003647</v>
      </c>
      <c r="J9" s="67">
        <f t="shared" ca="1" si="11"/>
        <v>5.8290204509838093</v>
      </c>
      <c r="K9" s="67">
        <f t="shared" ca="1" si="11"/>
        <v>5.9458894074448638</v>
      </c>
      <c r="L9" s="67">
        <f t="shared" ca="1" si="11"/>
        <v>6.0651015282676068</v>
      </c>
      <c r="M9" s="67">
        <f t="shared" ca="1" si="11"/>
        <v>6.1867037927303015</v>
      </c>
      <c r="N9" s="67">
        <f t="shared" ca="1" si="11"/>
        <v>6.3107441220223386</v>
      </c>
      <c r="Q9" s="62">
        <v>3.3062999999999998</v>
      </c>
      <c r="R9" s="62">
        <v>3.8765000000000001</v>
      </c>
      <c r="S9" s="62">
        <v>4.0492999999999997</v>
      </c>
      <c r="T9" s="62">
        <v>3.8744999999999998</v>
      </c>
      <c r="U9" s="62">
        <v>3.9205000000000001</v>
      </c>
      <c r="V9" s="62">
        <v>3.8498999999999999</v>
      </c>
      <c r="W9" s="62">
        <v>4.1562000000000001</v>
      </c>
      <c r="X9" s="62">
        <v>4.0304000000000002</v>
      </c>
      <c r="Y9" s="62">
        <v>5.2058999999999997</v>
      </c>
      <c r="Z9" s="62">
        <v>5.4676</v>
      </c>
      <c r="AA9" s="62">
        <v>5.6094999999999997</v>
      </c>
      <c r="AB9" s="62">
        <v>5.1966999999999999</v>
      </c>
      <c r="AC9" s="62">
        <v>5.63</v>
      </c>
      <c r="AD9" s="104">
        <f t="shared" ref="AD9:AZ9" ca="1" si="13">+AC9*(1+AD$15/4)/(1+AD$16/4)</f>
        <v>5.6580099502487569</v>
      </c>
      <c r="AE9" s="104">
        <f t="shared" ca="1" si="13"/>
        <v>5.6861592534838259</v>
      </c>
      <c r="AF9" s="104">
        <f t="shared" ca="1" si="13"/>
        <v>5.714448603003647</v>
      </c>
      <c r="AG9" s="104">
        <f t="shared" ca="1" si="13"/>
        <v>5.7428786955559046</v>
      </c>
      <c r="AH9" s="104">
        <f t="shared" ca="1" si="13"/>
        <v>5.7714502313546907</v>
      </c>
      <c r="AI9" s="104">
        <f t="shared" ca="1" si="13"/>
        <v>5.8001639140977499</v>
      </c>
      <c r="AJ9" s="104">
        <f t="shared" ca="1" si="13"/>
        <v>5.8290204509838093</v>
      </c>
      <c r="AK9" s="104">
        <f t="shared" ca="1" si="13"/>
        <v>5.8580205527299976</v>
      </c>
      <c r="AL9" s="104">
        <f t="shared" ca="1" si="13"/>
        <v>5.8871649335893519</v>
      </c>
      <c r="AM9" s="104">
        <f t="shared" ca="1" si="13"/>
        <v>5.9164543113684038</v>
      </c>
      <c r="AN9" s="104">
        <f t="shared" ca="1" si="13"/>
        <v>5.9458894074448638</v>
      </c>
      <c r="AO9" s="104">
        <f t="shared" ca="1" si="13"/>
        <v>5.9754709467853857</v>
      </c>
      <c r="AP9" s="104">
        <f t="shared" ca="1" si="13"/>
        <v>6.0051996579634235</v>
      </c>
      <c r="AQ9" s="104">
        <f t="shared" ca="1" si="13"/>
        <v>6.0350762731771725</v>
      </c>
      <c r="AR9" s="104">
        <f t="shared" ca="1" si="13"/>
        <v>6.0651015282676068</v>
      </c>
      <c r="AS9" s="104">
        <f t="shared" ca="1" si="13"/>
        <v>6.0952761627366012</v>
      </c>
      <c r="AT9" s="104">
        <f t="shared" ca="1" si="13"/>
        <v>6.1256009197651418</v>
      </c>
      <c r="AU9" s="104">
        <f t="shared" ca="1" si="13"/>
        <v>6.1560765462316356</v>
      </c>
      <c r="AV9" s="104">
        <f t="shared" ca="1" si="13"/>
        <v>6.1867037927303015</v>
      </c>
      <c r="AW9" s="104">
        <f t="shared" ca="1" si="13"/>
        <v>6.2174834135896573</v>
      </c>
      <c r="AX9" s="104">
        <f t="shared" ca="1" si="13"/>
        <v>6.2484161668910998</v>
      </c>
      <c r="AY9" s="104">
        <f t="shared" ca="1" si="13"/>
        <v>6.2795028144875733</v>
      </c>
      <c r="AZ9" s="104">
        <f t="shared" ca="1" si="13"/>
        <v>6.3107441220223386</v>
      </c>
      <c r="BA9" s="8" t="s">
        <v>75</v>
      </c>
    </row>
    <row r="10" spans="1:54" x14ac:dyDescent="0.2">
      <c r="B10" s="19" t="s">
        <v>568</v>
      </c>
      <c r="F10" s="67">
        <f t="shared" si="11"/>
        <v>3.8744999999999998</v>
      </c>
      <c r="G10" s="67">
        <f t="shared" si="11"/>
        <v>4.0304000000000002</v>
      </c>
      <c r="H10" s="67">
        <f t="shared" si="11"/>
        <v>5.1966999999999999</v>
      </c>
      <c r="I10" s="67">
        <f t="shared" si="11"/>
        <v>5.8258083309059137</v>
      </c>
      <c r="J10" s="67">
        <f t="shared" si="11"/>
        <v>6.2189054726368163</v>
      </c>
      <c r="K10" s="67">
        <f t="shared" si="11"/>
        <v>6.6688896298766256</v>
      </c>
      <c r="L10" s="67">
        <f t="shared" si="11"/>
        <v>7.1225071225071224</v>
      </c>
      <c r="M10" s="67">
        <f t="shared" si="11"/>
        <v>7.5728890571753125</v>
      </c>
      <c r="N10" s="67">
        <f t="shared" ca="1" si="11"/>
        <v>7.8016890996591588</v>
      </c>
      <c r="Q10" s="67">
        <f>+Q9</f>
        <v>3.3062999999999998</v>
      </c>
      <c r="R10" s="67">
        <f t="shared" ref="R10:AC10" si="14">+R9</f>
        <v>3.8765000000000001</v>
      </c>
      <c r="S10" s="67">
        <f t="shared" si="14"/>
        <v>4.0492999999999997</v>
      </c>
      <c r="T10" s="67">
        <f t="shared" si="14"/>
        <v>3.8744999999999998</v>
      </c>
      <c r="U10" s="67">
        <f t="shared" si="14"/>
        <v>3.9205000000000001</v>
      </c>
      <c r="V10" s="67">
        <f t="shared" si="14"/>
        <v>3.8498999999999999</v>
      </c>
      <c r="W10" s="67">
        <f t="shared" si="14"/>
        <v>4.1562000000000001</v>
      </c>
      <c r="X10" s="67">
        <f t="shared" si="14"/>
        <v>4.0304000000000002</v>
      </c>
      <c r="Y10" s="67">
        <f t="shared" si="14"/>
        <v>5.2058999999999997</v>
      </c>
      <c r="Z10" s="67">
        <f t="shared" si="14"/>
        <v>5.4676</v>
      </c>
      <c r="AA10" s="67">
        <f t="shared" si="14"/>
        <v>5.6094999999999997</v>
      </c>
      <c r="AB10" s="67">
        <f t="shared" si="14"/>
        <v>5.1966999999999999</v>
      </c>
      <c r="AC10" s="67">
        <f t="shared" si="14"/>
        <v>5.63</v>
      </c>
      <c r="AD10" s="62">
        <v>5.7405281285878305</v>
      </c>
      <c r="AE10" s="62">
        <v>5.7636887608069172</v>
      </c>
      <c r="AF10" s="62">
        <v>5.8258083309059137</v>
      </c>
      <c r="AG10" s="62">
        <v>5.9014458542342876</v>
      </c>
      <c r="AH10" s="62">
        <v>5.989817310572028</v>
      </c>
      <c r="AI10" s="62">
        <v>6.103143118706134</v>
      </c>
      <c r="AJ10" s="62">
        <v>6.2189054726368163</v>
      </c>
      <c r="AK10" s="62">
        <v>6.3331222292590246</v>
      </c>
      <c r="AL10" s="62">
        <v>6.4412238325281805</v>
      </c>
      <c r="AM10" s="62">
        <v>6.5552277941658472</v>
      </c>
      <c r="AN10" s="62">
        <v>6.6688896298766256</v>
      </c>
      <c r="AO10" s="62">
        <v>6.7842605156037994</v>
      </c>
      <c r="AP10" s="62">
        <v>6.8941744226128918</v>
      </c>
      <c r="AQ10" s="62">
        <v>7.0077084793272606</v>
      </c>
      <c r="AR10" s="62">
        <v>7.1225071225071224</v>
      </c>
      <c r="AS10" s="62">
        <v>7.2358900144717806</v>
      </c>
      <c r="AT10" s="62">
        <v>7.3448402497245686</v>
      </c>
      <c r="AU10" s="62">
        <v>7.4599030212607236</v>
      </c>
      <c r="AV10" s="62">
        <v>7.5728890571753125</v>
      </c>
      <c r="AW10" s="62">
        <v>7.6863950807071486</v>
      </c>
      <c r="AX10" s="276">
        <f ca="1">+AW10*(1+AX$15/4)/(1+AX$16/4)</f>
        <v>7.7246358522529563</v>
      </c>
      <c r="AY10" s="104">
        <f t="shared" ref="AY10:AZ10" ca="1" si="15">+AX10*(1+AY$15/4)/(1+AY$16/4)</f>
        <v>7.7630668763935189</v>
      </c>
      <c r="AZ10" s="104">
        <f t="shared" ca="1" si="15"/>
        <v>7.8016890996591588</v>
      </c>
      <c r="BA10" s="8" t="s">
        <v>75</v>
      </c>
    </row>
    <row r="11" spans="1:54" s="2" customFormat="1" x14ac:dyDescent="0.2">
      <c r="B11" s="34" t="s">
        <v>196</v>
      </c>
      <c r="F11" s="277">
        <f t="shared" ref="F11:N13" ca="1" si="16">+AVERAGEIFS(11:11,$6:$6,F$3)</f>
        <v>3.6590757053039629</v>
      </c>
      <c r="G11" s="277">
        <f t="shared" ca="1" si="16"/>
        <v>3.943887038715336</v>
      </c>
      <c r="H11" s="277">
        <f t="shared" ca="1" si="16"/>
        <v>5.1583516592153948</v>
      </c>
      <c r="I11" s="277">
        <f t="shared" ca="1" si="16"/>
        <v>5.6016279815717596</v>
      </c>
      <c r="J11" s="277">
        <f t="shared" ca="1" si="16"/>
        <v>5.7715568420005177</v>
      </c>
      <c r="K11" s="277">
        <f t="shared" ca="1" si="16"/>
        <v>5.8872736817255227</v>
      </c>
      <c r="L11" s="277">
        <f t="shared" ca="1" si="16"/>
        <v>6.005310586445554</v>
      </c>
      <c r="M11" s="277">
        <f t="shared" ca="1" si="16"/>
        <v>6.1257140723080834</v>
      </c>
      <c r="N11" s="277">
        <f t="shared" ca="1" si="16"/>
        <v>6.2485315880861627</v>
      </c>
      <c r="Q11" s="277">
        <f t="shared" ref="Q11:AZ11" ca="1" si="17">+OFFSET(Q11,$C8,)</f>
        <v>3.2670911764705881</v>
      </c>
      <c r="R11" s="277">
        <f t="shared" ca="1" si="17"/>
        <v>3.6087936507936504</v>
      </c>
      <c r="S11" s="277">
        <f t="shared" ca="1" si="17"/>
        <v>3.9478421874999987</v>
      </c>
      <c r="T11" s="277">
        <f t="shared" ca="1" si="17"/>
        <v>3.8125758064516133</v>
      </c>
      <c r="U11" s="277">
        <f t="shared" ca="1" si="17"/>
        <v>3.7655786885245899</v>
      </c>
      <c r="V11" s="277">
        <f t="shared" ca="1" si="17"/>
        <v>3.9215532258064503</v>
      </c>
      <c r="W11" s="277">
        <f t="shared" ca="1" si="17"/>
        <v>3.9722803030303022</v>
      </c>
      <c r="X11" s="277">
        <f t="shared" ca="1" si="17"/>
        <v>4.1161359375000002</v>
      </c>
      <c r="Y11" s="277">
        <f t="shared" ca="1" si="17"/>
        <v>4.4725483870967748</v>
      </c>
      <c r="Z11" s="277">
        <f t="shared" ca="1" si="17"/>
        <v>5.3856540983606553</v>
      </c>
      <c r="AA11" s="277">
        <f t="shared" ca="1" si="17"/>
        <v>5.380169230769229</v>
      </c>
      <c r="AB11" s="277">
        <f t="shared" ca="1" si="17"/>
        <v>5.3950349206349211</v>
      </c>
      <c r="AC11" s="277">
        <f t="shared" ca="1" si="17"/>
        <v>5.3901184210526321</v>
      </c>
      <c r="AD11" s="278">
        <f t="shared" ca="1" si="17"/>
        <v>5.6440049751243784</v>
      </c>
      <c r="AE11" s="278">
        <f t="shared" ca="1" si="17"/>
        <v>5.6720846018662918</v>
      </c>
      <c r="AF11" s="278">
        <f t="shared" ca="1" si="17"/>
        <v>5.700303928243736</v>
      </c>
      <c r="AG11" s="278">
        <f t="shared" ca="1" si="17"/>
        <v>5.7286636492797758</v>
      </c>
      <c r="AH11" s="278">
        <f t="shared" ca="1" si="17"/>
        <v>5.7571644634552976</v>
      </c>
      <c r="AI11" s="278">
        <f t="shared" ca="1" si="17"/>
        <v>5.7858070727262199</v>
      </c>
      <c r="AJ11" s="278">
        <f t="shared" ca="1" si="17"/>
        <v>5.81459218254078</v>
      </c>
      <c r="AK11" s="278">
        <f t="shared" ca="1" si="17"/>
        <v>5.8435205018569034</v>
      </c>
      <c r="AL11" s="278">
        <f t="shared" ca="1" si="17"/>
        <v>5.8725927431596752</v>
      </c>
      <c r="AM11" s="278">
        <f t="shared" ca="1" si="17"/>
        <v>5.9018096224788774</v>
      </c>
      <c r="AN11" s="278">
        <f t="shared" ca="1" si="17"/>
        <v>5.9311718594066338</v>
      </c>
      <c r="AO11" s="278">
        <f t="shared" ca="1" si="17"/>
        <v>5.9606801771151243</v>
      </c>
      <c r="AP11" s="278">
        <f t="shared" ca="1" si="17"/>
        <v>5.9903353023744046</v>
      </c>
      <c r="AQ11" s="278">
        <f t="shared" ca="1" si="17"/>
        <v>6.0201379655702976</v>
      </c>
      <c r="AR11" s="278">
        <f t="shared" ca="1" si="17"/>
        <v>6.0500889007223897</v>
      </c>
      <c r="AS11" s="278">
        <f t="shared" ca="1" si="17"/>
        <v>6.0801888455021036</v>
      </c>
      <c r="AT11" s="278">
        <f t="shared" ca="1" si="17"/>
        <v>6.1104385412508719</v>
      </c>
      <c r="AU11" s="278">
        <f t="shared" ca="1" si="17"/>
        <v>6.1408387329983887</v>
      </c>
      <c r="AV11" s="278">
        <f t="shared" ca="1" si="17"/>
        <v>6.1713901694809685</v>
      </c>
      <c r="AW11" s="278">
        <f t="shared" ca="1" si="17"/>
        <v>6.2020936031599794</v>
      </c>
      <c r="AX11" s="278">
        <f t="shared" ca="1" si="17"/>
        <v>6.2329497902403785</v>
      </c>
      <c r="AY11" s="278">
        <f t="shared" ca="1" si="17"/>
        <v>6.2639594906893361</v>
      </c>
      <c r="AZ11" s="278">
        <f t="shared" ca="1" si="17"/>
        <v>6.2951234682549559</v>
      </c>
      <c r="BA11" s="8" t="s">
        <v>75</v>
      </c>
    </row>
    <row r="12" spans="1:54" x14ac:dyDescent="0.2">
      <c r="B12" s="19" t="s">
        <v>567</v>
      </c>
      <c r="F12" s="67">
        <f t="shared" si="16"/>
        <v>3.6590757053039629</v>
      </c>
      <c r="G12" s="67">
        <f t="shared" si="16"/>
        <v>3.943887038715336</v>
      </c>
      <c r="H12" s="67">
        <f t="shared" si="16"/>
        <v>5.1583516592153948</v>
      </c>
      <c r="I12" s="67">
        <f t="shared" ca="1" si="16"/>
        <v>5.6016279815717596</v>
      </c>
      <c r="J12" s="67">
        <f t="shared" ca="1" si="16"/>
        <v>5.7715568420005177</v>
      </c>
      <c r="K12" s="67">
        <f t="shared" ca="1" si="16"/>
        <v>5.8872736817255227</v>
      </c>
      <c r="L12" s="67">
        <f t="shared" ca="1" si="16"/>
        <v>6.005310586445554</v>
      </c>
      <c r="M12" s="67">
        <f t="shared" ca="1" si="16"/>
        <v>6.1257140723080834</v>
      </c>
      <c r="N12" s="67">
        <f t="shared" ca="1" si="16"/>
        <v>6.2485315880861627</v>
      </c>
      <c r="Q12" s="62">
        <v>3.2670911764705881</v>
      </c>
      <c r="R12" s="62">
        <v>3.6087936507936504</v>
      </c>
      <c r="S12" s="62">
        <v>3.9478421874999987</v>
      </c>
      <c r="T12" s="62">
        <v>3.8125758064516133</v>
      </c>
      <c r="U12" s="62">
        <v>3.7655786885245899</v>
      </c>
      <c r="V12" s="62">
        <v>3.9215532258064503</v>
      </c>
      <c r="W12" s="62">
        <v>3.9722803030303022</v>
      </c>
      <c r="X12" s="62">
        <v>4.1161359375000002</v>
      </c>
      <c r="Y12" s="62">
        <v>4.4725483870967748</v>
      </c>
      <c r="Z12" s="62">
        <v>5.3856540983606553</v>
      </c>
      <c r="AA12" s="62">
        <v>5.380169230769229</v>
      </c>
      <c r="AB12" s="62">
        <v>5.3950349206349211</v>
      </c>
      <c r="AC12" s="62">
        <v>5.3901184210526321</v>
      </c>
      <c r="AD12" s="104">
        <f t="shared" ref="AD12:AY12" ca="1" si="18">+AVERAGE(AC$9:AD$9)</f>
        <v>5.6440049751243784</v>
      </c>
      <c r="AE12" s="104">
        <f t="shared" ca="1" si="18"/>
        <v>5.6720846018662918</v>
      </c>
      <c r="AF12" s="104">
        <f t="shared" ca="1" si="18"/>
        <v>5.700303928243736</v>
      </c>
      <c r="AG12" s="104">
        <f t="shared" ca="1" si="18"/>
        <v>5.7286636492797758</v>
      </c>
      <c r="AH12" s="104">
        <f t="shared" ca="1" si="18"/>
        <v>5.7571644634552976</v>
      </c>
      <c r="AI12" s="104">
        <f t="shared" ca="1" si="18"/>
        <v>5.7858070727262199</v>
      </c>
      <c r="AJ12" s="104">
        <f t="shared" ca="1" si="18"/>
        <v>5.81459218254078</v>
      </c>
      <c r="AK12" s="104">
        <f t="shared" ca="1" si="18"/>
        <v>5.8435205018569034</v>
      </c>
      <c r="AL12" s="104">
        <f t="shared" ca="1" si="18"/>
        <v>5.8725927431596752</v>
      </c>
      <c r="AM12" s="104">
        <f t="shared" ca="1" si="18"/>
        <v>5.9018096224788774</v>
      </c>
      <c r="AN12" s="104">
        <f t="shared" ca="1" si="18"/>
        <v>5.9311718594066338</v>
      </c>
      <c r="AO12" s="104">
        <f t="shared" ca="1" si="18"/>
        <v>5.9606801771151243</v>
      </c>
      <c r="AP12" s="104">
        <f t="shared" ca="1" si="18"/>
        <v>5.9903353023744046</v>
      </c>
      <c r="AQ12" s="104">
        <f t="shared" ca="1" si="18"/>
        <v>6.0201379655702976</v>
      </c>
      <c r="AR12" s="104">
        <f t="shared" ca="1" si="18"/>
        <v>6.0500889007223897</v>
      </c>
      <c r="AS12" s="104">
        <f t="shared" ca="1" si="18"/>
        <v>6.0801888455021036</v>
      </c>
      <c r="AT12" s="104">
        <f t="shared" ca="1" si="18"/>
        <v>6.1104385412508719</v>
      </c>
      <c r="AU12" s="104">
        <f t="shared" ca="1" si="18"/>
        <v>6.1408387329983887</v>
      </c>
      <c r="AV12" s="104">
        <f t="shared" ca="1" si="18"/>
        <v>6.1713901694809685</v>
      </c>
      <c r="AW12" s="104">
        <f t="shared" ca="1" si="18"/>
        <v>6.2020936031599794</v>
      </c>
      <c r="AX12" s="104">
        <f t="shared" ca="1" si="18"/>
        <v>6.2329497902403785</v>
      </c>
      <c r="AY12" s="104">
        <f t="shared" ca="1" si="18"/>
        <v>6.2639594906893361</v>
      </c>
      <c r="AZ12" s="104">
        <f ca="1">+AVERAGE(AY$9:AZ$9)</f>
        <v>6.2951234682549559</v>
      </c>
      <c r="BA12" s="8" t="s">
        <v>75</v>
      </c>
    </row>
    <row r="13" spans="1:54" x14ac:dyDescent="0.2">
      <c r="B13" s="19" t="s">
        <v>568</v>
      </c>
      <c r="F13" s="67">
        <f t="shared" si="16"/>
        <v>3.6590757053039629</v>
      </c>
      <c r="G13" s="67">
        <f t="shared" si="16"/>
        <v>3.943887038715336</v>
      </c>
      <c r="H13" s="67">
        <f t="shared" si="16"/>
        <v>5.1583516592153948</v>
      </c>
      <c r="I13" s="67">
        <f t="shared" si="16"/>
        <v>5.680035910338324</v>
      </c>
      <c r="J13" s="67">
        <f t="shared" si="16"/>
        <v>6.0533279390373158</v>
      </c>
      <c r="K13" s="67">
        <f t="shared" si="16"/>
        <v>6.4996158714574204</v>
      </c>
      <c r="L13" s="67">
        <f t="shared" si="16"/>
        <v>6.952162635012769</v>
      </c>
      <c r="M13" s="67">
        <f t="shared" si="16"/>
        <v>7.4033805856580965</v>
      </c>
      <c r="N13" s="67">
        <f t="shared" ca="1" si="16"/>
        <v>7.7439467272531957</v>
      </c>
      <c r="Q13" s="67">
        <f>+Q12</f>
        <v>3.2670911764705881</v>
      </c>
      <c r="R13" s="67">
        <f t="shared" ref="R13" si="19">+R12</f>
        <v>3.6087936507936504</v>
      </c>
      <c r="S13" s="67">
        <f t="shared" ref="S13" si="20">+S12</f>
        <v>3.9478421874999987</v>
      </c>
      <c r="T13" s="67">
        <f t="shared" ref="T13" si="21">+T12</f>
        <v>3.8125758064516133</v>
      </c>
      <c r="U13" s="67">
        <f t="shared" ref="U13" si="22">+U12</f>
        <v>3.7655786885245899</v>
      </c>
      <c r="V13" s="67">
        <f t="shared" ref="V13" si="23">+V12</f>
        <v>3.9215532258064503</v>
      </c>
      <c r="W13" s="67">
        <f t="shared" ref="W13" si="24">+W12</f>
        <v>3.9722803030303022</v>
      </c>
      <c r="X13" s="67">
        <f t="shared" ref="X13" si="25">+X12</f>
        <v>4.1161359375000002</v>
      </c>
      <c r="Y13" s="67">
        <f t="shared" ref="Y13" si="26">+Y12</f>
        <v>4.4725483870967748</v>
      </c>
      <c r="Z13" s="67">
        <f t="shared" ref="Z13" si="27">+Z12</f>
        <v>5.3856540983606553</v>
      </c>
      <c r="AA13" s="67">
        <f t="shared" ref="AA13" si="28">+AA12</f>
        <v>5.380169230769229</v>
      </c>
      <c r="AB13" s="67">
        <f t="shared" ref="AB13" si="29">+AB12</f>
        <v>5.3950349206349211</v>
      </c>
      <c r="AC13" s="67">
        <f t="shared" ref="AC13" si="30">+AC12</f>
        <v>5.3901184210526321</v>
      </c>
      <c r="AD13" s="105">
        <f t="shared" ref="AD13:AZ13" si="31">+AD10</f>
        <v>5.7405281285878305</v>
      </c>
      <c r="AE13" s="67">
        <f t="shared" si="31"/>
        <v>5.7636887608069172</v>
      </c>
      <c r="AF13" s="67">
        <f t="shared" si="31"/>
        <v>5.8258083309059137</v>
      </c>
      <c r="AG13" s="67">
        <f t="shared" si="31"/>
        <v>5.9014458542342876</v>
      </c>
      <c r="AH13" s="67">
        <f t="shared" si="31"/>
        <v>5.989817310572028</v>
      </c>
      <c r="AI13" s="67">
        <f t="shared" si="31"/>
        <v>6.103143118706134</v>
      </c>
      <c r="AJ13" s="67">
        <f t="shared" si="31"/>
        <v>6.2189054726368163</v>
      </c>
      <c r="AK13" s="67">
        <f t="shared" si="31"/>
        <v>6.3331222292590246</v>
      </c>
      <c r="AL13" s="67">
        <f t="shared" si="31"/>
        <v>6.4412238325281805</v>
      </c>
      <c r="AM13" s="67">
        <f t="shared" si="31"/>
        <v>6.5552277941658472</v>
      </c>
      <c r="AN13" s="67">
        <f t="shared" si="31"/>
        <v>6.6688896298766256</v>
      </c>
      <c r="AO13" s="67">
        <f t="shared" si="31"/>
        <v>6.7842605156037994</v>
      </c>
      <c r="AP13" s="67">
        <f t="shared" si="31"/>
        <v>6.8941744226128918</v>
      </c>
      <c r="AQ13" s="67">
        <f t="shared" si="31"/>
        <v>7.0077084793272606</v>
      </c>
      <c r="AR13" s="67">
        <f t="shared" si="31"/>
        <v>7.1225071225071224</v>
      </c>
      <c r="AS13" s="67">
        <f t="shared" si="31"/>
        <v>7.2358900144717806</v>
      </c>
      <c r="AT13" s="67">
        <f t="shared" si="31"/>
        <v>7.3448402497245686</v>
      </c>
      <c r="AU13" s="67">
        <f t="shared" si="31"/>
        <v>7.4599030212607236</v>
      </c>
      <c r="AV13" s="67">
        <f t="shared" si="31"/>
        <v>7.5728890571753125</v>
      </c>
      <c r="AW13" s="67">
        <f t="shared" si="31"/>
        <v>7.6863950807071486</v>
      </c>
      <c r="AX13" s="67">
        <f t="shared" ca="1" si="31"/>
        <v>7.7246358522529563</v>
      </c>
      <c r="AY13" s="67">
        <f t="shared" ca="1" si="31"/>
        <v>7.7630668763935189</v>
      </c>
      <c r="AZ13" s="67">
        <f t="shared" ca="1" si="31"/>
        <v>7.8016890996591588</v>
      </c>
      <c r="BA13" s="8" t="s">
        <v>75</v>
      </c>
    </row>
    <row r="14" spans="1:54" x14ac:dyDescent="0.2"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BA14" s="8" t="s">
        <v>75</v>
      </c>
    </row>
    <row r="15" spans="1:54" x14ac:dyDescent="0.2">
      <c r="B15" s="1" t="s">
        <v>226</v>
      </c>
      <c r="C15" s="215">
        <f ca="1">+Ctrl!G64</f>
        <v>0.04</v>
      </c>
      <c r="AD15" s="103">
        <f ca="1">+$C15</f>
        <v>0.04</v>
      </c>
      <c r="AE15" s="103">
        <f t="shared" ref="AE15:AZ16" ca="1" si="32">+$C15</f>
        <v>0.04</v>
      </c>
      <c r="AF15" s="103">
        <f t="shared" ca="1" si="32"/>
        <v>0.04</v>
      </c>
      <c r="AG15" s="103">
        <f t="shared" ca="1" si="32"/>
        <v>0.04</v>
      </c>
      <c r="AH15" s="103">
        <f t="shared" ca="1" si="32"/>
        <v>0.04</v>
      </c>
      <c r="AI15" s="103">
        <f t="shared" ca="1" si="32"/>
        <v>0.04</v>
      </c>
      <c r="AJ15" s="103">
        <f t="shared" ca="1" si="32"/>
        <v>0.04</v>
      </c>
      <c r="AK15" s="103">
        <f t="shared" ca="1" si="32"/>
        <v>0.04</v>
      </c>
      <c r="AL15" s="103">
        <f t="shared" ca="1" si="32"/>
        <v>0.04</v>
      </c>
      <c r="AM15" s="103">
        <f t="shared" ca="1" si="32"/>
        <v>0.04</v>
      </c>
      <c r="AN15" s="103">
        <f t="shared" ca="1" si="32"/>
        <v>0.04</v>
      </c>
      <c r="AO15" s="103">
        <f t="shared" ca="1" si="32"/>
        <v>0.04</v>
      </c>
      <c r="AP15" s="103">
        <f t="shared" ca="1" si="32"/>
        <v>0.04</v>
      </c>
      <c r="AQ15" s="103">
        <f t="shared" ca="1" si="32"/>
        <v>0.04</v>
      </c>
      <c r="AR15" s="103">
        <f t="shared" ca="1" si="32"/>
        <v>0.04</v>
      </c>
      <c r="AS15" s="103">
        <f t="shared" ca="1" si="32"/>
        <v>0.04</v>
      </c>
      <c r="AT15" s="103">
        <f t="shared" ca="1" si="32"/>
        <v>0.04</v>
      </c>
      <c r="AU15" s="103">
        <f t="shared" ca="1" si="32"/>
        <v>0.04</v>
      </c>
      <c r="AV15" s="103">
        <f t="shared" ca="1" si="32"/>
        <v>0.04</v>
      </c>
      <c r="AW15" s="103">
        <f t="shared" ca="1" si="32"/>
        <v>0.04</v>
      </c>
      <c r="AX15" s="103">
        <f t="shared" ca="1" si="32"/>
        <v>0.04</v>
      </c>
      <c r="AY15" s="103">
        <f t="shared" ca="1" si="32"/>
        <v>0.04</v>
      </c>
      <c r="AZ15" s="103">
        <f t="shared" ca="1" si="32"/>
        <v>0.04</v>
      </c>
      <c r="BA15" s="8" t="s">
        <v>75</v>
      </c>
    </row>
    <row r="16" spans="1:54" x14ac:dyDescent="0.2">
      <c r="B16" s="1" t="s">
        <v>227</v>
      </c>
      <c r="C16" s="215">
        <f ca="1">+Ctrl!G65</f>
        <v>0.02</v>
      </c>
      <c r="AD16" s="103">
        <f ca="1">+$C16</f>
        <v>0.02</v>
      </c>
      <c r="AE16" s="103">
        <f t="shared" ca="1" si="32"/>
        <v>0.02</v>
      </c>
      <c r="AF16" s="103">
        <f t="shared" ca="1" si="32"/>
        <v>0.02</v>
      </c>
      <c r="AG16" s="103">
        <f t="shared" ca="1" si="32"/>
        <v>0.02</v>
      </c>
      <c r="AH16" s="103">
        <f t="shared" ca="1" si="32"/>
        <v>0.02</v>
      </c>
      <c r="AI16" s="103">
        <f t="shared" ca="1" si="32"/>
        <v>0.02</v>
      </c>
      <c r="AJ16" s="103">
        <f t="shared" ca="1" si="32"/>
        <v>0.02</v>
      </c>
      <c r="AK16" s="103">
        <f t="shared" ca="1" si="32"/>
        <v>0.02</v>
      </c>
      <c r="AL16" s="103">
        <f t="shared" ca="1" si="32"/>
        <v>0.02</v>
      </c>
      <c r="AM16" s="103">
        <f t="shared" ca="1" si="32"/>
        <v>0.02</v>
      </c>
      <c r="AN16" s="103">
        <f t="shared" ca="1" si="32"/>
        <v>0.02</v>
      </c>
      <c r="AO16" s="103">
        <f t="shared" ca="1" si="32"/>
        <v>0.02</v>
      </c>
      <c r="AP16" s="103">
        <f t="shared" ca="1" si="32"/>
        <v>0.02</v>
      </c>
      <c r="AQ16" s="103">
        <f t="shared" ca="1" si="32"/>
        <v>0.02</v>
      </c>
      <c r="AR16" s="103">
        <f t="shared" ca="1" si="32"/>
        <v>0.02</v>
      </c>
      <c r="AS16" s="103">
        <f t="shared" ca="1" si="32"/>
        <v>0.02</v>
      </c>
      <c r="AT16" s="103">
        <f t="shared" ca="1" si="32"/>
        <v>0.02</v>
      </c>
      <c r="AU16" s="103">
        <f t="shared" ca="1" si="32"/>
        <v>0.02</v>
      </c>
      <c r="AV16" s="103">
        <f t="shared" ca="1" si="32"/>
        <v>0.02</v>
      </c>
      <c r="AW16" s="103">
        <f t="shared" ca="1" si="32"/>
        <v>0.02</v>
      </c>
      <c r="AX16" s="103">
        <f t="shared" ca="1" si="32"/>
        <v>0.02</v>
      </c>
      <c r="AY16" s="103">
        <f t="shared" ca="1" si="32"/>
        <v>0.02</v>
      </c>
      <c r="AZ16" s="103">
        <f t="shared" ca="1" si="32"/>
        <v>0.02</v>
      </c>
      <c r="BA16" s="8" t="s">
        <v>75</v>
      </c>
    </row>
    <row r="17" spans="53:53" x14ac:dyDescent="0.2">
      <c r="BA17" s="8"/>
    </row>
    <row r="18" spans="53:53" x14ac:dyDescent="0.2">
      <c r="BA18" s="8"/>
    </row>
    <row r="19" spans="53:53" x14ac:dyDescent="0.2">
      <c r="BA19" s="8"/>
    </row>
    <row r="20" spans="53:53" x14ac:dyDescent="0.2">
      <c r="BA20" s="8"/>
    </row>
    <row r="21" spans="53:53" x14ac:dyDescent="0.2">
      <c r="BA21" s="8"/>
    </row>
    <row r="22" spans="53:53" x14ac:dyDescent="0.2">
      <c r="BA22" s="8"/>
    </row>
    <row r="23" spans="53:53" x14ac:dyDescent="0.2">
      <c r="BA23" s="8"/>
    </row>
    <row r="24" spans="53:53" x14ac:dyDescent="0.2">
      <c r="BA24" s="8"/>
    </row>
    <row r="25" spans="53:53" x14ac:dyDescent="0.2">
      <c r="BA25" s="8"/>
    </row>
    <row r="26" spans="53:53" x14ac:dyDescent="0.2">
      <c r="BA26" s="8"/>
    </row>
    <row r="27" spans="53:53" x14ac:dyDescent="0.2">
      <c r="BA27" s="8"/>
    </row>
    <row r="28" spans="53:53" x14ac:dyDescent="0.2">
      <c r="BA28" s="8"/>
    </row>
    <row r="29" spans="53:53" x14ac:dyDescent="0.2">
      <c r="BA29" s="8"/>
    </row>
    <row r="30" spans="53:53" x14ac:dyDescent="0.2">
      <c r="BA30" s="8"/>
    </row>
    <row r="31" spans="53:53" x14ac:dyDescent="0.2">
      <c r="BA31" s="8"/>
    </row>
    <row r="32" spans="53:53" x14ac:dyDescent="0.2">
      <c r="BA32" s="8"/>
    </row>
    <row r="33" spans="53:53" x14ac:dyDescent="0.2">
      <c r="BA33" s="8"/>
    </row>
    <row r="34" spans="53:53" x14ac:dyDescent="0.2">
      <c r="BA34" s="8"/>
    </row>
    <row r="35" spans="53:53" x14ac:dyDescent="0.2">
      <c r="BA35" s="8"/>
    </row>
    <row r="36" spans="53:53" x14ac:dyDescent="0.2">
      <c r="BA36" s="8"/>
    </row>
    <row r="37" spans="53:53" x14ac:dyDescent="0.2">
      <c r="BA37" s="8"/>
    </row>
    <row r="38" spans="53:53" x14ac:dyDescent="0.2">
      <c r="BA38" s="8"/>
    </row>
    <row r="39" spans="53:53" x14ac:dyDescent="0.2">
      <c r="BA39" s="8"/>
    </row>
  </sheetData>
  <conditionalFormatting sqref="C1">
    <cfRule type="cellIs" dxfId="3" priority="2" operator="equal">
      <formula>"OK"</formula>
    </cfRule>
  </conditionalFormatting>
  <conditionalFormatting sqref="C1">
    <cfRule type="cellIs" dxfId="2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7207-F5FD-4F0A-A3BD-715391A13328}">
  <sheetPr>
    <tabColor theme="0" tint="-0.499984740745262"/>
  </sheetPr>
  <dimension ref="A1:J125"/>
  <sheetViews>
    <sheetView workbookViewId="0"/>
  </sheetViews>
  <sheetFormatPr defaultRowHeight="12.75" x14ac:dyDescent="0.2"/>
  <cols>
    <col min="1" max="1" width="9.85546875" style="1" bestFit="1" customWidth="1"/>
    <col min="2" max="2" width="9.28515625" style="1" bestFit="1" customWidth="1"/>
    <col min="3" max="16384" width="9.140625" style="1"/>
  </cols>
  <sheetData>
    <row r="1" spans="1:8" x14ac:dyDescent="0.2">
      <c r="A1" s="1" t="s">
        <v>356</v>
      </c>
      <c r="B1" s="1" t="s">
        <v>477</v>
      </c>
      <c r="C1" s="1" t="s">
        <v>478</v>
      </c>
      <c r="D1" s="1" t="s">
        <v>479</v>
      </c>
      <c r="F1" s="1" t="s">
        <v>477</v>
      </c>
      <c r="G1" s="1" t="s">
        <v>478</v>
      </c>
      <c r="H1" s="1" t="s">
        <v>479</v>
      </c>
    </row>
    <row r="2" spans="1:8" x14ac:dyDescent="0.2">
      <c r="A2" s="7">
        <v>44099</v>
      </c>
      <c r="B2" s="198">
        <v>7.42</v>
      </c>
      <c r="C2" s="198">
        <v>20.84</v>
      </c>
      <c r="D2" s="198">
        <v>96999</v>
      </c>
      <c r="F2" s="69">
        <f>+B2/B$2-1</f>
        <v>0</v>
      </c>
      <c r="G2" s="69">
        <f>+C2/C$2-1</f>
        <v>0</v>
      </c>
      <c r="H2" s="69">
        <f>+D2/D$2-1</f>
        <v>0</v>
      </c>
    </row>
    <row r="3" spans="1:8" x14ac:dyDescent="0.2">
      <c r="A3" s="7">
        <v>44102</v>
      </c>
      <c r="B3" s="198">
        <v>7.22</v>
      </c>
      <c r="C3" s="198">
        <v>19.889999</v>
      </c>
      <c r="D3" s="198">
        <v>94666</v>
      </c>
      <c r="F3" s="69">
        <f t="shared" ref="F3:F66" si="0">+B3/B$2-1</f>
        <v>-2.695417789757415E-2</v>
      </c>
      <c r="G3" s="69">
        <f t="shared" ref="G3:G66" si="1">+C3/C$2-1</f>
        <v>-4.558546065259117E-2</v>
      </c>
      <c r="H3" s="69">
        <f t="shared" ref="H3:H66" si="2">+D3/D$2-1</f>
        <v>-2.4051794348395328E-2</v>
      </c>
    </row>
    <row r="4" spans="1:8" x14ac:dyDescent="0.2">
      <c r="A4" s="7">
        <v>44103</v>
      </c>
      <c r="B4" s="198">
        <v>7.05</v>
      </c>
      <c r="C4" s="198">
        <v>19.139999</v>
      </c>
      <c r="D4" s="198">
        <v>93580</v>
      </c>
      <c r="F4" s="69">
        <f t="shared" si="0"/>
        <v>-4.9865229110512166E-2</v>
      </c>
      <c r="G4" s="69">
        <f t="shared" si="1"/>
        <v>-8.1573944337811954E-2</v>
      </c>
      <c r="H4" s="69">
        <f t="shared" si="2"/>
        <v>-3.5247786059650066E-2</v>
      </c>
    </row>
    <row r="5" spans="1:8" x14ac:dyDescent="0.2">
      <c r="A5" s="7">
        <v>44104</v>
      </c>
      <c r="B5" s="198">
        <v>7.25</v>
      </c>
      <c r="C5" s="198">
        <v>19.059999000000001</v>
      </c>
      <c r="D5" s="198">
        <v>94603</v>
      </c>
      <c r="F5" s="69">
        <f t="shared" si="0"/>
        <v>-2.2911051212938016E-2</v>
      </c>
      <c r="G5" s="69">
        <f t="shared" si="1"/>
        <v>-8.541271593090205E-2</v>
      </c>
      <c r="H5" s="69">
        <f t="shared" si="2"/>
        <v>-2.4701285580263743E-2</v>
      </c>
    </row>
    <row r="6" spans="1:8" x14ac:dyDescent="0.2">
      <c r="A6" s="7">
        <v>44105</v>
      </c>
      <c r="B6" s="198">
        <v>7.32</v>
      </c>
      <c r="C6" s="198">
        <v>19.530000999999999</v>
      </c>
      <c r="D6" s="198">
        <v>95479</v>
      </c>
      <c r="F6" s="69">
        <f t="shared" si="0"/>
        <v>-1.3477088948786964E-2</v>
      </c>
      <c r="G6" s="69">
        <f t="shared" si="1"/>
        <v>-6.2859836852207307E-2</v>
      </c>
      <c r="H6" s="69">
        <f t="shared" si="2"/>
        <v>-1.5670264641903575E-2</v>
      </c>
    </row>
    <row r="7" spans="1:8" x14ac:dyDescent="0.2">
      <c r="A7" s="7">
        <v>44106</v>
      </c>
      <c r="B7" s="198">
        <v>7.14</v>
      </c>
      <c r="C7" s="198">
        <v>18.950001</v>
      </c>
      <c r="D7" s="198">
        <v>94016</v>
      </c>
      <c r="F7" s="69">
        <f t="shared" si="0"/>
        <v>-3.7735849056603765E-2</v>
      </c>
      <c r="G7" s="69">
        <f t="shared" si="1"/>
        <v>-9.0690930902111333E-2</v>
      </c>
      <c r="H7" s="69">
        <f t="shared" si="2"/>
        <v>-3.0752894359735716E-2</v>
      </c>
    </row>
    <row r="8" spans="1:8" x14ac:dyDescent="0.2">
      <c r="A8" s="7">
        <v>44109</v>
      </c>
      <c r="B8" s="198">
        <v>7.05</v>
      </c>
      <c r="C8" s="198">
        <v>18.870000999999998</v>
      </c>
      <c r="D8" s="198">
        <v>96089</v>
      </c>
      <c r="F8" s="69">
        <f t="shared" si="0"/>
        <v>-4.9865229110512166E-2</v>
      </c>
      <c r="G8" s="69">
        <f t="shared" si="1"/>
        <v>-9.4529702495201651E-2</v>
      </c>
      <c r="H8" s="69">
        <f t="shared" si="2"/>
        <v>-9.3815400158764328E-3</v>
      </c>
    </row>
    <row r="9" spans="1:8" x14ac:dyDescent="0.2">
      <c r="A9" s="7">
        <v>44110</v>
      </c>
      <c r="B9" s="198">
        <v>6.95</v>
      </c>
      <c r="C9" s="198">
        <v>18.799999</v>
      </c>
      <c r="D9" s="198">
        <v>95615</v>
      </c>
      <c r="F9" s="69">
        <f t="shared" si="0"/>
        <v>-6.334231805929913E-2</v>
      </c>
      <c r="G9" s="69">
        <f t="shared" si="1"/>
        <v>-9.788872360844536E-2</v>
      </c>
      <c r="H9" s="69">
        <f t="shared" si="2"/>
        <v>-1.4268188331838516E-2</v>
      </c>
    </row>
    <row r="10" spans="1:8" x14ac:dyDescent="0.2">
      <c r="A10" s="7">
        <v>44111</v>
      </c>
      <c r="B10" s="198">
        <v>6.65</v>
      </c>
      <c r="C10" s="198">
        <v>18.43</v>
      </c>
      <c r="D10" s="198">
        <v>95526</v>
      </c>
      <c r="F10" s="69">
        <f t="shared" si="0"/>
        <v>-0.10377358490566035</v>
      </c>
      <c r="G10" s="69">
        <f t="shared" si="1"/>
        <v>-0.11564299424184266</v>
      </c>
      <c r="H10" s="69">
        <f t="shared" si="2"/>
        <v>-1.518572356416048E-2</v>
      </c>
    </row>
    <row r="11" spans="1:8" x14ac:dyDescent="0.2">
      <c r="A11" s="7">
        <v>44112</v>
      </c>
      <c r="B11" s="198">
        <v>6.69</v>
      </c>
      <c r="C11" s="198">
        <v>18.469999000000001</v>
      </c>
      <c r="D11" s="198">
        <v>97920</v>
      </c>
      <c r="F11" s="69">
        <f t="shared" si="0"/>
        <v>-9.8382749326145547E-2</v>
      </c>
      <c r="G11" s="69">
        <f t="shared" si="1"/>
        <v>-0.11372365642994231</v>
      </c>
      <c r="H11" s="69">
        <f t="shared" si="2"/>
        <v>9.4949432468376394E-3</v>
      </c>
    </row>
    <row r="12" spans="1:8" x14ac:dyDescent="0.2">
      <c r="A12" s="7">
        <v>44113</v>
      </c>
      <c r="B12" s="198">
        <v>6.75</v>
      </c>
      <c r="C12" s="198">
        <v>18.02</v>
      </c>
      <c r="D12" s="198">
        <v>97483</v>
      </c>
      <c r="F12" s="69">
        <f t="shared" si="0"/>
        <v>-9.0296495956873279E-2</v>
      </c>
      <c r="G12" s="69">
        <f t="shared" si="1"/>
        <v>-0.13531669865642992</v>
      </c>
      <c r="H12" s="69">
        <f t="shared" si="2"/>
        <v>4.9897421622904226E-3</v>
      </c>
    </row>
    <row r="13" spans="1:8" x14ac:dyDescent="0.2">
      <c r="A13" s="7">
        <v>44117</v>
      </c>
      <c r="B13" s="198">
        <v>6.61</v>
      </c>
      <c r="C13" s="198">
        <v>17.940000999999999</v>
      </c>
      <c r="D13" s="198">
        <v>98503</v>
      </c>
      <c r="F13" s="69">
        <f t="shared" si="0"/>
        <v>-0.10916442048517516</v>
      </c>
      <c r="G13" s="69">
        <f t="shared" si="1"/>
        <v>-0.13915542226487532</v>
      </c>
      <c r="H13" s="69">
        <f t="shared" si="2"/>
        <v>1.5505314487778143E-2</v>
      </c>
    </row>
    <row r="14" spans="1:8" x14ac:dyDescent="0.2">
      <c r="A14" s="7">
        <v>44118</v>
      </c>
      <c r="B14" s="198">
        <v>6.8</v>
      </c>
      <c r="C14" s="198">
        <v>18.93</v>
      </c>
      <c r="D14" s="198">
        <v>99334</v>
      </c>
      <c r="F14" s="69">
        <f t="shared" si="0"/>
        <v>-8.3557951482479798E-2</v>
      </c>
      <c r="G14" s="69">
        <f t="shared" si="1"/>
        <v>-9.1650671785028837E-2</v>
      </c>
      <c r="H14" s="69">
        <f t="shared" si="2"/>
        <v>2.4072413117661062E-2</v>
      </c>
    </row>
    <row r="15" spans="1:8" x14ac:dyDescent="0.2">
      <c r="A15" s="7">
        <v>44119</v>
      </c>
      <c r="B15" s="198">
        <v>6.91</v>
      </c>
      <c r="C15" s="198">
        <v>19</v>
      </c>
      <c r="D15" s="198">
        <v>99054</v>
      </c>
      <c r="F15" s="69">
        <f t="shared" si="0"/>
        <v>-6.8733153638813937E-2</v>
      </c>
      <c r="G15" s="69">
        <f t="shared" si="1"/>
        <v>-8.8291746641074864E-2</v>
      </c>
      <c r="H15" s="69">
        <f t="shared" si="2"/>
        <v>2.1185785420468228E-2</v>
      </c>
    </row>
    <row r="16" spans="1:8" x14ac:dyDescent="0.2">
      <c r="A16" s="7">
        <v>44120</v>
      </c>
      <c r="B16" s="198">
        <v>6.89</v>
      </c>
      <c r="C16" s="198">
        <v>18.75</v>
      </c>
      <c r="D16" s="198">
        <v>98309</v>
      </c>
      <c r="F16" s="69">
        <f t="shared" si="0"/>
        <v>-7.1428571428571508E-2</v>
      </c>
      <c r="G16" s="69">
        <f t="shared" si="1"/>
        <v>-0.10028790786948172</v>
      </c>
      <c r="H16" s="69">
        <f t="shared" si="2"/>
        <v>1.3505293869009005E-2</v>
      </c>
    </row>
    <row r="17" spans="1:10" x14ac:dyDescent="0.2">
      <c r="A17" s="7">
        <v>44123</v>
      </c>
      <c r="B17" s="198">
        <v>6.8</v>
      </c>
      <c r="C17" s="198">
        <v>18.670000000000002</v>
      </c>
      <c r="D17" s="198">
        <v>98658</v>
      </c>
      <c r="F17" s="69">
        <f t="shared" si="0"/>
        <v>-8.3557951482479798E-2</v>
      </c>
      <c r="G17" s="69">
        <f t="shared" si="1"/>
        <v>-0.10412667946257192</v>
      </c>
      <c r="H17" s="69">
        <f t="shared" si="2"/>
        <v>1.7103269105867014E-2</v>
      </c>
    </row>
    <row r="18" spans="1:10" x14ac:dyDescent="0.2">
      <c r="A18" s="7">
        <v>44124</v>
      </c>
      <c r="B18" s="198">
        <v>6.75</v>
      </c>
      <c r="C18" s="198">
        <v>18.48</v>
      </c>
      <c r="D18" s="198">
        <v>100540</v>
      </c>
      <c r="F18" s="69">
        <f t="shared" si="0"/>
        <v>-9.0296495956873279E-2</v>
      </c>
      <c r="G18" s="69">
        <f t="shared" si="1"/>
        <v>-0.11324376199616115</v>
      </c>
      <c r="H18" s="69">
        <f t="shared" si="2"/>
        <v>3.6505530984855428E-2</v>
      </c>
    </row>
    <row r="19" spans="1:10" x14ac:dyDescent="0.2">
      <c r="A19" s="7">
        <v>44125</v>
      </c>
      <c r="B19" s="198">
        <v>6.61</v>
      </c>
      <c r="C19" s="198">
        <v>18.350000000000001</v>
      </c>
      <c r="D19" s="198">
        <v>100552</v>
      </c>
      <c r="F19" s="69">
        <f t="shared" si="0"/>
        <v>-0.10916442048517516</v>
      </c>
      <c r="G19" s="69">
        <f t="shared" si="1"/>
        <v>-0.11948176583493275</v>
      </c>
      <c r="H19" s="69">
        <f t="shared" si="2"/>
        <v>3.662924360044939E-2</v>
      </c>
    </row>
    <row r="20" spans="1:10" x14ac:dyDescent="0.2">
      <c r="A20" s="7">
        <v>44126</v>
      </c>
      <c r="B20" s="198">
        <v>6.61</v>
      </c>
      <c r="C20" s="198">
        <v>18.620000999999998</v>
      </c>
      <c r="D20" s="198">
        <v>101918</v>
      </c>
      <c r="F20" s="69">
        <f t="shared" si="0"/>
        <v>-0.10916442048517516</v>
      </c>
      <c r="G20" s="69">
        <f t="shared" si="1"/>
        <v>-0.1065258637236085</v>
      </c>
      <c r="H20" s="69">
        <f t="shared" si="2"/>
        <v>5.0711863008896962E-2</v>
      </c>
    </row>
    <row r="21" spans="1:10" x14ac:dyDescent="0.2">
      <c r="A21" s="7">
        <v>44127</v>
      </c>
      <c r="B21" s="198">
        <v>6.85</v>
      </c>
      <c r="C21" s="198">
        <v>18.129999000000002</v>
      </c>
      <c r="D21" s="198">
        <v>101260</v>
      </c>
      <c r="F21" s="69">
        <f t="shared" si="0"/>
        <v>-7.6819407008086316E-2</v>
      </c>
      <c r="G21" s="69">
        <f t="shared" si="1"/>
        <v>-0.13003843570057572</v>
      </c>
      <c r="H21" s="69">
        <f t="shared" si="2"/>
        <v>4.392828792049408E-2</v>
      </c>
    </row>
    <row r="22" spans="1:10" x14ac:dyDescent="0.2">
      <c r="A22" s="7">
        <v>44130</v>
      </c>
      <c r="B22" s="198">
        <v>6.74</v>
      </c>
      <c r="C22" s="198">
        <v>18.02</v>
      </c>
      <c r="D22" s="198">
        <v>101017</v>
      </c>
      <c r="F22" s="69">
        <f t="shared" si="0"/>
        <v>-9.1644204851751954E-2</v>
      </c>
      <c r="G22" s="69">
        <f t="shared" si="1"/>
        <v>-0.13531669865642992</v>
      </c>
      <c r="H22" s="69">
        <f t="shared" si="2"/>
        <v>4.1423107454716002E-2</v>
      </c>
    </row>
    <row r="23" spans="1:10" x14ac:dyDescent="0.2">
      <c r="A23" s="7">
        <v>44131</v>
      </c>
      <c r="B23" s="198">
        <v>6.56</v>
      </c>
      <c r="C23" s="198">
        <v>18.049999</v>
      </c>
      <c r="D23" s="198">
        <v>99606</v>
      </c>
      <c r="F23" s="69">
        <f t="shared" si="0"/>
        <v>-0.11590296495956875</v>
      </c>
      <c r="G23" s="69">
        <f t="shared" si="1"/>
        <v>-0.13387720729366603</v>
      </c>
      <c r="H23" s="69">
        <f t="shared" si="2"/>
        <v>2.687656573779118E-2</v>
      </c>
      <c r="J23" s="155"/>
    </row>
    <row r="24" spans="1:10" x14ac:dyDescent="0.2">
      <c r="A24" s="7">
        <v>44132</v>
      </c>
      <c r="B24" s="198">
        <v>6.15</v>
      </c>
      <c r="C24" s="198">
        <v>17.530000999999999</v>
      </c>
      <c r="D24" s="198">
        <v>95369</v>
      </c>
      <c r="F24" s="69">
        <f t="shared" si="0"/>
        <v>-0.17115902964959562</v>
      </c>
      <c r="G24" s="69">
        <f t="shared" si="1"/>
        <v>-0.15882912667946258</v>
      </c>
      <c r="H24" s="69">
        <f t="shared" si="2"/>
        <v>-1.6804296951514974E-2</v>
      </c>
      <c r="J24" s="155"/>
    </row>
    <row r="25" spans="1:10" x14ac:dyDescent="0.2">
      <c r="A25" s="7">
        <v>44133</v>
      </c>
      <c r="B25" s="198">
        <v>6.16</v>
      </c>
      <c r="C25" s="198">
        <v>18.329999999999998</v>
      </c>
      <c r="D25" s="198">
        <v>96582</v>
      </c>
      <c r="F25" s="69">
        <f t="shared" si="0"/>
        <v>-0.16981132075471694</v>
      </c>
      <c r="G25" s="69">
        <f t="shared" si="1"/>
        <v>-0.12044145873320544</v>
      </c>
      <c r="H25" s="69">
        <f t="shared" si="2"/>
        <v>-4.2990133918906492E-3</v>
      </c>
      <c r="J25" s="155"/>
    </row>
    <row r="26" spans="1:10" x14ac:dyDescent="0.2">
      <c r="A26" s="7">
        <v>44134</v>
      </c>
      <c r="B26" s="198">
        <v>5.9</v>
      </c>
      <c r="C26" s="198">
        <v>18.34</v>
      </c>
      <c r="D26" s="198">
        <v>93952</v>
      </c>
      <c r="F26" s="69">
        <f t="shared" si="0"/>
        <v>-0.20485175202156325</v>
      </c>
      <c r="G26" s="69">
        <f t="shared" si="1"/>
        <v>-0.1199616122840691</v>
      </c>
      <c r="H26" s="69">
        <f t="shared" si="2"/>
        <v>-3.1412694976236888E-2</v>
      </c>
    </row>
    <row r="27" spans="1:10" x14ac:dyDescent="0.2">
      <c r="A27" s="7">
        <v>44138</v>
      </c>
      <c r="B27" s="198">
        <v>6.45</v>
      </c>
      <c r="C27" s="198">
        <v>18.360001</v>
      </c>
      <c r="D27" s="198">
        <v>95587</v>
      </c>
      <c r="F27" s="69">
        <f t="shared" si="0"/>
        <v>-0.1307277628032345</v>
      </c>
      <c r="G27" s="69">
        <f t="shared" si="1"/>
        <v>-0.11900187140115159</v>
      </c>
      <c r="H27" s="69">
        <f t="shared" si="2"/>
        <v>-1.4556851101557799E-2</v>
      </c>
    </row>
    <row r="28" spans="1:10" x14ac:dyDescent="0.2">
      <c r="A28" s="7">
        <v>44139</v>
      </c>
      <c r="B28" s="198">
        <v>6.53</v>
      </c>
      <c r="C28" s="198">
        <v>19.040001</v>
      </c>
      <c r="D28" s="198">
        <v>97811</v>
      </c>
      <c r="F28" s="69">
        <f t="shared" si="0"/>
        <v>-0.11994609164420478</v>
      </c>
      <c r="G28" s="69">
        <f t="shared" si="1"/>
        <v>-8.6372312859884781E-2</v>
      </c>
      <c r="H28" s="69">
        <f t="shared" si="2"/>
        <v>8.3712203218588854E-3</v>
      </c>
    </row>
    <row r="29" spans="1:10" x14ac:dyDescent="0.2">
      <c r="A29" s="7">
        <v>44140</v>
      </c>
      <c r="B29" s="198">
        <v>6.6</v>
      </c>
      <c r="C29" s="198">
        <v>19.860001</v>
      </c>
      <c r="D29" s="198">
        <v>100774</v>
      </c>
      <c r="F29" s="69">
        <f t="shared" si="0"/>
        <v>-0.11051212938005395</v>
      </c>
      <c r="G29" s="69">
        <f t="shared" si="1"/>
        <v>-4.7024904030710135E-2</v>
      </c>
      <c r="H29" s="69">
        <f t="shared" si="2"/>
        <v>3.8917926988937923E-2</v>
      </c>
    </row>
    <row r="30" spans="1:10" x14ac:dyDescent="0.2">
      <c r="A30" s="7">
        <v>44141</v>
      </c>
      <c r="B30" s="198">
        <v>6.63</v>
      </c>
      <c r="C30" s="198">
        <v>19.209999</v>
      </c>
      <c r="D30" s="198">
        <v>100799</v>
      </c>
      <c r="F30" s="69">
        <f t="shared" si="0"/>
        <v>-0.10646900269541781</v>
      </c>
      <c r="G30" s="69">
        <f t="shared" si="1"/>
        <v>-7.8215019193857982E-2</v>
      </c>
      <c r="H30" s="69">
        <f t="shared" si="2"/>
        <v>3.9175661604758716E-2</v>
      </c>
    </row>
    <row r="31" spans="1:10" x14ac:dyDescent="0.2">
      <c r="A31" s="7">
        <v>44144</v>
      </c>
      <c r="B31" s="198">
        <v>6.56</v>
      </c>
      <c r="C31" s="198">
        <v>20.450001</v>
      </c>
      <c r="D31" s="198">
        <v>103913</v>
      </c>
      <c r="F31" s="69">
        <f t="shared" si="0"/>
        <v>-0.11590296495956875</v>
      </c>
      <c r="G31" s="69">
        <f t="shared" si="1"/>
        <v>-1.8713963531669875E-2</v>
      </c>
      <c r="H31" s="69">
        <f t="shared" si="2"/>
        <v>7.1279085351395377E-2</v>
      </c>
    </row>
    <row r="32" spans="1:10" x14ac:dyDescent="0.2">
      <c r="A32" s="7">
        <v>44145</v>
      </c>
      <c r="B32" s="198">
        <v>6.43</v>
      </c>
      <c r="C32" s="198">
        <v>20.07</v>
      </c>
      <c r="D32" s="198">
        <v>105351</v>
      </c>
      <c r="F32" s="69">
        <f t="shared" si="0"/>
        <v>-0.13342318059299196</v>
      </c>
      <c r="G32" s="69">
        <f t="shared" si="1"/>
        <v>-3.6948176583493253E-2</v>
      </c>
      <c r="H32" s="69">
        <f t="shared" si="2"/>
        <v>8.6103980453406725E-2</v>
      </c>
    </row>
    <row r="33" spans="1:8" x14ac:dyDescent="0.2">
      <c r="A33" s="7">
        <v>44146</v>
      </c>
      <c r="B33" s="198">
        <v>6.4</v>
      </c>
      <c r="C33" s="198">
        <v>20.040001</v>
      </c>
      <c r="D33" s="198">
        <v>104532</v>
      </c>
      <c r="F33" s="69">
        <f t="shared" si="0"/>
        <v>-0.13746630727762799</v>
      </c>
      <c r="G33" s="69">
        <f t="shared" si="1"/>
        <v>-3.8387667946257142E-2</v>
      </c>
      <c r="H33" s="69">
        <f t="shared" si="2"/>
        <v>7.7660594439117991E-2</v>
      </c>
    </row>
    <row r="34" spans="1:8" x14ac:dyDescent="0.2">
      <c r="A34" s="7">
        <v>44147</v>
      </c>
      <c r="B34" s="198">
        <v>6.38</v>
      </c>
      <c r="C34" s="198">
        <v>19</v>
      </c>
      <c r="D34" s="198">
        <v>102175</v>
      </c>
      <c r="F34" s="69">
        <f t="shared" si="0"/>
        <v>-0.14016172506738545</v>
      </c>
      <c r="G34" s="69">
        <f t="shared" si="1"/>
        <v>-8.8291746641074864E-2</v>
      </c>
      <c r="H34" s="69">
        <f t="shared" si="2"/>
        <v>5.3361374859534738E-2</v>
      </c>
    </row>
    <row r="35" spans="1:8" x14ac:dyDescent="0.2">
      <c r="A35" s="7">
        <v>44148</v>
      </c>
      <c r="B35" s="198">
        <v>6.3</v>
      </c>
      <c r="C35" s="198">
        <v>19.299999</v>
      </c>
      <c r="D35" s="198">
        <v>104512</v>
      </c>
      <c r="F35" s="69">
        <f t="shared" si="0"/>
        <v>-0.15094339622641506</v>
      </c>
      <c r="G35" s="69">
        <f t="shared" si="1"/>
        <v>-7.3896401151631541E-2</v>
      </c>
      <c r="H35" s="69">
        <f t="shared" si="2"/>
        <v>7.7454406746461313E-2</v>
      </c>
    </row>
    <row r="36" spans="1:8" x14ac:dyDescent="0.2">
      <c r="A36" s="7">
        <v>44151</v>
      </c>
      <c r="B36" s="198">
        <v>6.2</v>
      </c>
      <c r="C36" s="198">
        <v>18.93</v>
      </c>
      <c r="D36" s="198">
        <v>106430</v>
      </c>
      <c r="F36" s="69">
        <f t="shared" si="0"/>
        <v>-0.16442048517520214</v>
      </c>
      <c r="G36" s="69">
        <f t="shared" si="1"/>
        <v>-9.1650671785028837E-2</v>
      </c>
      <c r="H36" s="69">
        <f t="shared" si="2"/>
        <v>9.7227806472231615E-2</v>
      </c>
    </row>
    <row r="37" spans="1:8" x14ac:dyDescent="0.2">
      <c r="A37" s="7">
        <v>44152</v>
      </c>
      <c r="B37" s="198">
        <v>6.28</v>
      </c>
      <c r="C37" s="198">
        <v>18.799999</v>
      </c>
      <c r="D37" s="198">
        <v>107229</v>
      </c>
      <c r="F37" s="69">
        <f t="shared" si="0"/>
        <v>-0.15363881401617252</v>
      </c>
      <c r="G37" s="69">
        <f t="shared" si="1"/>
        <v>-9.788872360844536E-2</v>
      </c>
      <c r="H37" s="69">
        <f t="shared" si="2"/>
        <v>0.10546500479386389</v>
      </c>
    </row>
    <row r="38" spans="1:8" x14ac:dyDescent="0.2">
      <c r="A38" s="7">
        <v>44153</v>
      </c>
      <c r="B38" s="198">
        <v>6.35</v>
      </c>
      <c r="C38" s="198">
        <v>18.370000999999998</v>
      </c>
      <c r="D38" s="198">
        <v>106483</v>
      </c>
      <c r="F38" s="69">
        <f t="shared" si="0"/>
        <v>-0.14420485175202158</v>
      </c>
      <c r="G38" s="69">
        <f t="shared" si="1"/>
        <v>-0.11852202495201547</v>
      </c>
      <c r="H38" s="69">
        <f t="shared" si="2"/>
        <v>9.7774203857771802E-2</v>
      </c>
    </row>
    <row r="39" spans="1:8" x14ac:dyDescent="0.2">
      <c r="A39" s="7">
        <v>44154</v>
      </c>
      <c r="B39" s="198">
        <v>6.45</v>
      </c>
      <c r="C39" s="198">
        <v>18.600000000000001</v>
      </c>
      <c r="D39" s="198">
        <v>106517</v>
      </c>
      <c r="F39" s="69">
        <f t="shared" si="0"/>
        <v>-0.1307277628032345</v>
      </c>
      <c r="G39" s="69">
        <f t="shared" si="1"/>
        <v>-0.10748560460652579</v>
      </c>
      <c r="H39" s="69">
        <f t="shared" si="2"/>
        <v>9.8124722935287956E-2</v>
      </c>
    </row>
    <row r="40" spans="1:8" x14ac:dyDescent="0.2">
      <c r="A40" s="7">
        <v>44158</v>
      </c>
      <c r="B40" s="198">
        <v>6.45</v>
      </c>
      <c r="C40" s="198">
        <v>19.200001</v>
      </c>
      <c r="D40" s="198">
        <v>107379</v>
      </c>
      <c r="F40" s="69">
        <f t="shared" si="0"/>
        <v>-0.1307277628032345</v>
      </c>
      <c r="G40" s="69">
        <f t="shared" si="1"/>
        <v>-7.8694769673704368E-2</v>
      </c>
      <c r="H40" s="69">
        <f t="shared" si="2"/>
        <v>0.10701141248878865</v>
      </c>
    </row>
    <row r="41" spans="1:8" x14ac:dyDescent="0.2">
      <c r="A41" s="7">
        <v>44159</v>
      </c>
      <c r="B41" s="198">
        <v>6.53</v>
      </c>
      <c r="C41" s="198">
        <v>18.940000999999999</v>
      </c>
      <c r="D41" s="198">
        <v>109786</v>
      </c>
      <c r="F41" s="69">
        <f t="shared" si="0"/>
        <v>-0.11994609164420478</v>
      </c>
      <c r="G41" s="69">
        <f t="shared" si="1"/>
        <v>-9.1170777351247678E-2</v>
      </c>
      <c r="H41" s="69">
        <f t="shared" si="2"/>
        <v>0.13182610130001349</v>
      </c>
    </row>
    <row r="42" spans="1:8" x14ac:dyDescent="0.2">
      <c r="A42" s="7">
        <v>44160</v>
      </c>
      <c r="B42" s="198">
        <v>6.73</v>
      </c>
      <c r="C42" s="198">
        <v>19.16</v>
      </c>
      <c r="D42" s="198">
        <v>110133</v>
      </c>
      <c r="F42" s="69">
        <f t="shared" si="0"/>
        <v>-9.2991913746630628E-2</v>
      </c>
      <c r="G42" s="69">
        <f t="shared" si="1"/>
        <v>-8.0614203454894451E-2</v>
      </c>
      <c r="H42" s="69">
        <f t="shared" si="2"/>
        <v>0.13540345776760576</v>
      </c>
    </row>
    <row r="43" spans="1:8" x14ac:dyDescent="0.2">
      <c r="A43" s="7">
        <v>44161</v>
      </c>
      <c r="B43" s="198">
        <v>6.75</v>
      </c>
      <c r="C43" s="198">
        <v>19.459999</v>
      </c>
      <c r="D43" s="198">
        <v>110227</v>
      </c>
      <c r="F43" s="69">
        <f t="shared" si="0"/>
        <v>-9.0296495956873279E-2</v>
      </c>
      <c r="G43" s="69">
        <f t="shared" si="1"/>
        <v>-6.6218857965451017E-2</v>
      </c>
      <c r="H43" s="69">
        <f t="shared" si="2"/>
        <v>0.13637253992309195</v>
      </c>
    </row>
    <row r="44" spans="1:8" x14ac:dyDescent="0.2">
      <c r="A44" s="7">
        <v>44162</v>
      </c>
      <c r="B44" s="198">
        <v>6.95</v>
      </c>
      <c r="C44" s="198">
        <v>19.370000999999998</v>
      </c>
      <c r="D44" s="198">
        <v>110575</v>
      </c>
      <c r="F44" s="69">
        <f t="shared" si="0"/>
        <v>-6.334231805929913E-2</v>
      </c>
      <c r="G44" s="69">
        <f t="shared" si="1"/>
        <v>-7.0537380038387831E-2</v>
      </c>
      <c r="H44" s="69">
        <f t="shared" si="2"/>
        <v>0.13996020577531731</v>
      </c>
    </row>
    <row r="45" spans="1:8" x14ac:dyDescent="0.2">
      <c r="A45" s="7">
        <v>44165</v>
      </c>
      <c r="B45" s="198">
        <v>6.89</v>
      </c>
      <c r="C45" s="198">
        <v>18.959999</v>
      </c>
      <c r="D45" s="198">
        <v>108888</v>
      </c>
      <c r="F45" s="69">
        <f t="shared" si="0"/>
        <v>-7.1428571428571508E-2</v>
      </c>
      <c r="G45" s="69">
        <f t="shared" si="1"/>
        <v>-9.0211180422264836E-2</v>
      </c>
      <c r="H45" s="69">
        <f t="shared" si="2"/>
        <v>0.12256827389973091</v>
      </c>
    </row>
    <row r="46" spans="1:8" x14ac:dyDescent="0.2">
      <c r="A46" s="7">
        <v>44166</v>
      </c>
      <c r="B46" s="198">
        <v>7.38</v>
      </c>
      <c r="C46" s="198">
        <v>19.670000000000002</v>
      </c>
      <c r="D46" s="198">
        <v>111335</v>
      </c>
      <c r="F46" s="69">
        <f t="shared" si="0"/>
        <v>-5.3908355795148077E-3</v>
      </c>
      <c r="G46" s="69">
        <f t="shared" si="1"/>
        <v>-5.6142034548944286E-2</v>
      </c>
      <c r="H46" s="69">
        <f t="shared" si="2"/>
        <v>0.1477953380962691</v>
      </c>
    </row>
    <row r="47" spans="1:8" x14ac:dyDescent="0.2">
      <c r="A47" s="7">
        <v>44167</v>
      </c>
      <c r="B47" s="198">
        <v>7.56</v>
      </c>
      <c r="C47" s="198">
        <v>20</v>
      </c>
      <c r="D47" s="198">
        <v>111814</v>
      </c>
      <c r="F47" s="69">
        <f t="shared" si="0"/>
        <v>1.8867924528301883E-2</v>
      </c>
      <c r="G47" s="69">
        <f t="shared" si="1"/>
        <v>-4.0307101727447225E-2</v>
      </c>
      <c r="H47" s="69">
        <f t="shared" si="2"/>
        <v>0.15273353333539519</v>
      </c>
    </row>
    <row r="48" spans="1:8" x14ac:dyDescent="0.2">
      <c r="A48" s="7">
        <v>44168</v>
      </c>
      <c r="B48" s="198">
        <v>7.44</v>
      </c>
      <c r="C48" s="198">
        <v>20.25</v>
      </c>
      <c r="D48" s="198">
        <v>112919</v>
      </c>
      <c r="F48" s="69">
        <f t="shared" si="0"/>
        <v>2.6954177897575704E-3</v>
      </c>
      <c r="G48" s="69">
        <f t="shared" si="1"/>
        <v>-2.831094049904026E-2</v>
      </c>
      <c r="H48" s="69">
        <f t="shared" si="2"/>
        <v>0.16412540335467374</v>
      </c>
    </row>
    <row r="49" spans="1:8" x14ac:dyDescent="0.2">
      <c r="A49" s="7">
        <v>44169</v>
      </c>
      <c r="B49" s="198">
        <v>7.15</v>
      </c>
      <c r="C49" s="198">
        <v>20.639999</v>
      </c>
      <c r="D49" s="198">
        <v>113682</v>
      </c>
      <c r="F49" s="69">
        <f t="shared" si="0"/>
        <v>-3.638814016172498E-2</v>
      </c>
      <c r="G49" s="69">
        <f t="shared" si="1"/>
        <v>-9.5969769673704963E-3</v>
      </c>
      <c r="H49" s="69">
        <f t="shared" si="2"/>
        <v>0.17199146382952391</v>
      </c>
    </row>
    <row r="50" spans="1:8" x14ac:dyDescent="0.2">
      <c r="A50" s="7">
        <v>44172</v>
      </c>
      <c r="B50" s="198">
        <v>7</v>
      </c>
      <c r="C50" s="198">
        <v>19.98</v>
      </c>
      <c r="D50" s="198">
        <v>113625</v>
      </c>
      <c r="F50" s="69">
        <f t="shared" si="0"/>
        <v>-5.6603773584905648E-2</v>
      </c>
      <c r="G50" s="69">
        <f t="shared" si="1"/>
        <v>-4.1266794625719694E-2</v>
      </c>
      <c r="H50" s="69">
        <f t="shared" si="2"/>
        <v>0.17140382890545269</v>
      </c>
    </row>
    <row r="51" spans="1:8" x14ac:dyDescent="0.2">
      <c r="A51" s="7">
        <v>44173</v>
      </c>
      <c r="B51" s="198">
        <v>6.83</v>
      </c>
      <c r="C51" s="198">
        <v>19.809999000000001</v>
      </c>
      <c r="D51" s="198">
        <v>113571</v>
      </c>
      <c r="F51" s="69">
        <f t="shared" si="0"/>
        <v>-7.9514824797843664E-2</v>
      </c>
      <c r="G51" s="69">
        <f t="shared" si="1"/>
        <v>-4.9424232245681265E-2</v>
      </c>
      <c r="H51" s="69">
        <f t="shared" si="2"/>
        <v>0.17084712213527964</v>
      </c>
    </row>
    <row r="52" spans="1:8" x14ac:dyDescent="0.2">
      <c r="A52" s="7">
        <v>44174</v>
      </c>
      <c r="B52" s="198">
        <v>6.56</v>
      </c>
      <c r="C52" s="198">
        <v>19.239999999999998</v>
      </c>
      <c r="D52" s="198">
        <v>112722</v>
      </c>
      <c r="F52" s="69">
        <f t="shared" si="0"/>
        <v>-0.11590296495956875</v>
      </c>
      <c r="G52" s="69">
        <f t="shared" si="1"/>
        <v>-7.6775431861804244E-2</v>
      </c>
      <c r="H52" s="69">
        <f t="shared" si="2"/>
        <v>0.162094454582006</v>
      </c>
    </row>
    <row r="53" spans="1:8" x14ac:dyDescent="0.2">
      <c r="A53" s="7">
        <v>44175</v>
      </c>
      <c r="B53" s="198">
        <v>6.57</v>
      </c>
      <c r="C53" s="198">
        <v>19.299999</v>
      </c>
      <c r="D53" s="198">
        <v>114992</v>
      </c>
      <c r="F53" s="69">
        <f t="shared" si="0"/>
        <v>-0.11455525606468997</v>
      </c>
      <c r="G53" s="69">
        <f t="shared" si="1"/>
        <v>-7.3896401151631541E-2</v>
      </c>
      <c r="H53" s="69">
        <f t="shared" si="2"/>
        <v>0.18549675769853291</v>
      </c>
    </row>
    <row r="54" spans="1:8" x14ac:dyDescent="0.2">
      <c r="A54" s="7">
        <v>44176</v>
      </c>
      <c r="B54" s="198">
        <v>6.58</v>
      </c>
      <c r="C54" s="198">
        <v>18.77</v>
      </c>
      <c r="D54" s="198">
        <v>115323</v>
      </c>
      <c r="F54" s="69">
        <f t="shared" si="0"/>
        <v>-0.1132075471698113</v>
      </c>
      <c r="G54" s="69">
        <f t="shared" si="1"/>
        <v>-9.932821497120925E-2</v>
      </c>
      <c r="H54" s="69">
        <f t="shared" si="2"/>
        <v>0.1889091640120002</v>
      </c>
    </row>
    <row r="55" spans="1:8" x14ac:dyDescent="0.2">
      <c r="A55" s="7">
        <v>44179</v>
      </c>
      <c r="B55" s="198">
        <v>6.52</v>
      </c>
      <c r="C55" s="198">
        <v>18.549999</v>
      </c>
      <c r="D55" s="198">
        <v>114975</v>
      </c>
      <c r="F55" s="69">
        <f t="shared" si="0"/>
        <v>-0.12129380053908356</v>
      </c>
      <c r="G55" s="69">
        <f t="shared" si="1"/>
        <v>-0.10988488483685221</v>
      </c>
      <c r="H55" s="69">
        <f t="shared" si="2"/>
        <v>0.18532149815977483</v>
      </c>
    </row>
    <row r="56" spans="1:8" x14ac:dyDescent="0.2">
      <c r="A56" s="7">
        <v>44180</v>
      </c>
      <c r="B56" s="198">
        <v>6.55</v>
      </c>
      <c r="C56" s="198">
        <v>19.5</v>
      </c>
      <c r="D56" s="198">
        <v>116146</v>
      </c>
      <c r="F56" s="69">
        <f t="shared" si="0"/>
        <v>-0.11725067385444743</v>
      </c>
      <c r="G56" s="69">
        <f t="shared" si="1"/>
        <v>-6.4299424184261045E-2</v>
      </c>
      <c r="H56" s="69">
        <f t="shared" si="2"/>
        <v>0.19739378756482018</v>
      </c>
    </row>
    <row r="57" spans="1:8" x14ac:dyDescent="0.2">
      <c r="A57" s="7">
        <v>44181</v>
      </c>
      <c r="B57" s="198">
        <v>6.6</v>
      </c>
      <c r="C57" s="198">
        <v>19.52</v>
      </c>
      <c r="D57" s="198">
        <v>117947</v>
      </c>
      <c r="F57" s="69">
        <f t="shared" si="0"/>
        <v>-0.11051212938005395</v>
      </c>
      <c r="G57" s="69">
        <f t="shared" si="1"/>
        <v>-6.3339731285988465E-2</v>
      </c>
      <c r="H57" s="69">
        <f t="shared" si="2"/>
        <v>0.21596098928854945</v>
      </c>
    </row>
    <row r="58" spans="1:8" x14ac:dyDescent="0.2">
      <c r="A58" s="7">
        <v>44182</v>
      </c>
      <c r="B58" s="198">
        <v>6.62</v>
      </c>
      <c r="C58" s="198">
        <v>19.799999</v>
      </c>
      <c r="D58" s="198">
        <v>118157</v>
      </c>
      <c r="F58" s="69">
        <f t="shared" si="0"/>
        <v>-0.10781671159029649</v>
      </c>
      <c r="G58" s="69">
        <f t="shared" si="1"/>
        <v>-4.9904078694817722E-2</v>
      </c>
      <c r="H58" s="69">
        <f t="shared" si="2"/>
        <v>0.21812596006144402</v>
      </c>
    </row>
    <row r="59" spans="1:8" x14ac:dyDescent="0.2">
      <c r="A59" s="7">
        <v>44183</v>
      </c>
      <c r="B59" s="198">
        <v>6.73</v>
      </c>
      <c r="C59" s="198">
        <v>19.379999000000002</v>
      </c>
      <c r="D59" s="198">
        <v>117679</v>
      </c>
      <c r="F59" s="69">
        <f t="shared" si="0"/>
        <v>-9.2991913746630628E-2</v>
      </c>
      <c r="G59" s="69">
        <f t="shared" si="1"/>
        <v>-7.0057629558541223E-2</v>
      </c>
      <c r="H59" s="69">
        <f t="shared" si="2"/>
        <v>0.21319807420695058</v>
      </c>
    </row>
    <row r="60" spans="1:8" x14ac:dyDescent="0.2">
      <c r="A60" s="7">
        <v>44186</v>
      </c>
      <c r="B60" s="198">
        <v>6.66</v>
      </c>
      <c r="C60" s="198">
        <v>19.25</v>
      </c>
      <c r="D60" s="198">
        <v>116016</v>
      </c>
      <c r="F60" s="69">
        <f t="shared" si="0"/>
        <v>-0.10242587601078168</v>
      </c>
      <c r="G60" s="69">
        <f t="shared" si="1"/>
        <v>-7.6295585412667899E-2</v>
      </c>
      <c r="H60" s="69">
        <f t="shared" si="2"/>
        <v>0.1960535675625521</v>
      </c>
    </row>
    <row r="61" spans="1:8" x14ac:dyDescent="0.2">
      <c r="A61" s="7">
        <v>44187</v>
      </c>
      <c r="B61" s="198">
        <v>6.77</v>
      </c>
      <c r="C61" s="198">
        <v>19.149999999999999</v>
      </c>
      <c r="D61" s="198">
        <v>116348</v>
      </c>
      <c r="F61" s="69">
        <f t="shared" si="0"/>
        <v>-8.7601078167115931E-2</v>
      </c>
      <c r="G61" s="69">
        <f t="shared" si="1"/>
        <v>-8.1094049904030796E-2</v>
      </c>
      <c r="H61" s="69">
        <f t="shared" si="2"/>
        <v>0.19947628326065225</v>
      </c>
    </row>
    <row r="62" spans="1:8" x14ac:dyDescent="0.2">
      <c r="A62" s="7">
        <v>44188</v>
      </c>
      <c r="B62" s="198">
        <v>6.87</v>
      </c>
      <c r="C62" s="198">
        <v>19.200001</v>
      </c>
      <c r="D62" s="198">
        <v>117857</v>
      </c>
      <c r="F62" s="69">
        <f t="shared" si="0"/>
        <v>-7.4123989218328856E-2</v>
      </c>
      <c r="G62" s="69">
        <f t="shared" si="1"/>
        <v>-7.8694769673704368E-2</v>
      </c>
      <c r="H62" s="69">
        <f t="shared" si="2"/>
        <v>0.21503314467159451</v>
      </c>
    </row>
    <row r="63" spans="1:8" x14ac:dyDescent="0.2">
      <c r="A63" s="7">
        <v>44193</v>
      </c>
      <c r="B63" s="198">
        <v>6.86</v>
      </c>
      <c r="C63" s="198">
        <v>19.649999999999999</v>
      </c>
      <c r="D63" s="198">
        <v>119051</v>
      </c>
      <c r="F63" s="69">
        <f t="shared" si="0"/>
        <v>-7.547169811320753E-2</v>
      </c>
      <c r="G63" s="69">
        <f t="shared" si="1"/>
        <v>-5.7101727447216977E-2</v>
      </c>
      <c r="H63" s="69">
        <f t="shared" si="2"/>
        <v>0.22734254992319514</v>
      </c>
    </row>
    <row r="64" spans="1:8" x14ac:dyDescent="0.2">
      <c r="A64" s="7">
        <v>44194</v>
      </c>
      <c r="B64" s="198">
        <v>6.86</v>
      </c>
      <c r="C64" s="198">
        <v>19.530000999999999</v>
      </c>
      <c r="D64" s="198">
        <v>119475</v>
      </c>
      <c r="F64" s="69">
        <f t="shared" si="0"/>
        <v>-7.547169811320753E-2</v>
      </c>
      <c r="G64" s="69">
        <f t="shared" si="1"/>
        <v>-6.2859836852207307E-2</v>
      </c>
      <c r="H64" s="69">
        <f t="shared" si="2"/>
        <v>0.23171372900751552</v>
      </c>
    </row>
    <row r="65" spans="1:8" x14ac:dyDescent="0.2">
      <c r="A65" s="7">
        <v>44195</v>
      </c>
      <c r="B65" s="198">
        <v>6.9</v>
      </c>
      <c r="C65" s="198">
        <v>19.239999999999998</v>
      </c>
      <c r="D65" s="198">
        <v>119306</v>
      </c>
      <c r="F65" s="69">
        <f t="shared" si="0"/>
        <v>-7.0080862533692612E-2</v>
      </c>
      <c r="G65" s="69">
        <f t="shared" si="1"/>
        <v>-7.6775431861804244E-2</v>
      </c>
      <c r="H65" s="69">
        <f t="shared" si="2"/>
        <v>0.22997144300456696</v>
      </c>
    </row>
    <row r="66" spans="1:8" x14ac:dyDescent="0.2">
      <c r="A66" s="7">
        <v>44200</v>
      </c>
      <c r="B66" s="198">
        <v>6.61</v>
      </c>
      <c r="C66" s="198">
        <v>19.149999999999999</v>
      </c>
      <c r="D66" s="198">
        <v>118558</v>
      </c>
      <c r="F66" s="69">
        <f t="shared" si="0"/>
        <v>-0.10916442048517516</v>
      </c>
      <c r="G66" s="69">
        <f t="shared" si="1"/>
        <v>-8.1094049904030796E-2</v>
      </c>
      <c r="H66" s="69">
        <f t="shared" si="2"/>
        <v>0.22226002329920935</v>
      </c>
    </row>
    <row r="67" spans="1:8" x14ac:dyDescent="0.2">
      <c r="A67" s="7">
        <v>44201</v>
      </c>
      <c r="B67" s="198">
        <v>6.66</v>
      </c>
      <c r="C67" s="198">
        <v>19.299999</v>
      </c>
      <c r="D67" s="198">
        <v>119223</v>
      </c>
      <c r="F67" s="69">
        <f t="shared" ref="F67:F125" si="3">+B67/B$2-1</f>
        <v>-0.10242587601078168</v>
      </c>
      <c r="G67" s="69">
        <f t="shared" ref="G67:G125" si="4">+C67/C$2-1</f>
        <v>-7.3896401151631541E-2</v>
      </c>
      <c r="H67" s="69">
        <f t="shared" ref="H67:H125" si="5">+D67/D$2-1</f>
        <v>0.22911576408004208</v>
      </c>
    </row>
    <row r="68" spans="1:8" x14ac:dyDescent="0.2">
      <c r="A68" s="7">
        <v>44202</v>
      </c>
      <c r="B68" s="198">
        <v>6.48</v>
      </c>
      <c r="C68" s="198">
        <v>19.18</v>
      </c>
      <c r="D68" s="198">
        <v>119851</v>
      </c>
      <c r="F68" s="69">
        <f t="shared" si="3"/>
        <v>-0.12668463611859837</v>
      </c>
      <c r="G68" s="69">
        <f t="shared" si="4"/>
        <v>-7.9654510556621871E-2</v>
      </c>
      <c r="H68" s="69">
        <f t="shared" si="5"/>
        <v>0.23559005762946006</v>
      </c>
    </row>
    <row r="69" spans="1:8" x14ac:dyDescent="0.2">
      <c r="A69" s="7">
        <v>44203</v>
      </c>
      <c r="B69" s="198">
        <v>6.2</v>
      </c>
      <c r="C69" s="198">
        <v>19.629999000000002</v>
      </c>
      <c r="D69" s="198">
        <v>121956</v>
      </c>
      <c r="F69" s="69">
        <f t="shared" si="3"/>
        <v>-0.16442048517520214</v>
      </c>
      <c r="G69" s="69">
        <f t="shared" si="4"/>
        <v>-5.8061468330134258E-2</v>
      </c>
      <c r="H69" s="69">
        <f t="shared" si="5"/>
        <v>0.25729131228156987</v>
      </c>
    </row>
    <row r="70" spans="1:8" x14ac:dyDescent="0.2">
      <c r="A70" s="7">
        <v>44204</v>
      </c>
      <c r="B70" s="198">
        <v>6.37</v>
      </c>
      <c r="C70" s="198">
        <v>20</v>
      </c>
      <c r="D70" s="198">
        <v>125077</v>
      </c>
      <c r="F70" s="69">
        <f t="shared" si="3"/>
        <v>-0.14150943396226412</v>
      </c>
      <c r="G70" s="69">
        <f t="shared" si="4"/>
        <v>-4.0307101727447225E-2</v>
      </c>
      <c r="H70" s="69">
        <f t="shared" si="5"/>
        <v>0.28946690172063638</v>
      </c>
    </row>
    <row r="71" spans="1:8" x14ac:dyDescent="0.2">
      <c r="A71" s="7">
        <v>44207</v>
      </c>
      <c r="B71" s="198">
        <v>6.31</v>
      </c>
      <c r="C71" s="198">
        <v>19.649999999999999</v>
      </c>
      <c r="D71" s="198">
        <v>122807</v>
      </c>
      <c r="F71" s="69">
        <f t="shared" si="3"/>
        <v>-0.14959568733153639</v>
      </c>
      <c r="G71" s="69">
        <f t="shared" si="4"/>
        <v>-5.7101727447216977E-2</v>
      </c>
      <c r="H71" s="69">
        <f t="shared" si="5"/>
        <v>0.26606459860410925</v>
      </c>
    </row>
    <row r="72" spans="1:8" x14ac:dyDescent="0.2">
      <c r="A72" s="7">
        <v>44208</v>
      </c>
      <c r="B72" s="198">
        <v>6.45</v>
      </c>
      <c r="C72" s="198">
        <v>20.690000999999999</v>
      </c>
      <c r="D72" s="198">
        <v>123998</v>
      </c>
      <c r="F72" s="69">
        <f t="shared" si="3"/>
        <v>-0.1307277628032345</v>
      </c>
      <c r="G72" s="69">
        <f t="shared" si="4"/>
        <v>-7.1976487523992549E-3</v>
      </c>
      <c r="H72" s="69">
        <f t="shared" si="5"/>
        <v>0.27834307570181127</v>
      </c>
    </row>
    <row r="73" spans="1:8" x14ac:dyDescent="0.2">
      <c r="A73" s="7">
        <v>44209</v>
      </c>
      <c r="B73" s="198">
        <v>6.75</v>
      </c>
      <c r="C73" s="198">
        <v>20.700001</v>
      </c>
      <c r="D73" s="198">
        <v>122040</v>
      </c>
      <c r="F73" s="69">
        <f t="shared" si="3"/>
        <v>-9.0296495956873279E-2</v>
      </c>
      <c r="G73" s="69">
        <f t="shared" si="4"/>
        <v>-6.7178023032629097E-3</v>
      </c>
      <c r="H73" s="69">
        <f t="shared" si="5"/>
        <v>0.25815730059072783</v>
      </c>
    </row>
    <row r="74" spans="1:8" x14ac:dyDescent="0.2">
      <c r="A74" s="7">
        <v>44210</v>
      </c>
      <c r="B74" s="198">
        <v>6.85</v>
      </c>
      <c r="C74" s="198">
        <v>20.74</v>
      </c>
      <c r="D74" s="198">
        <v>123481</v>
      </c>
      <c r="F74" s="69">
        <f t="shared" si="3"/>
        <v>-7.6819407008086316E-2</v>
      </c>
      <c r="G74" s="69">
        <f t="shared" si="4"/>
        <v>-4.7984644913627861E-3</v>
      </c>
      <c r="H74" s="69">
        <f t="shared" si="5"/>
        <v>0.27301312384663756</v>
      </c>
    </row>
    <row r="75" spans="1:8" x14ac:dyDescent="0.2">
      <c r="A75" s="7">
        <v>44211</v>
      </c>
      <c r="B75" s="198">
        <v>6.8</v>
      </c>
      <c r="C75" s="198">
        <v>21.209999</v>
      </c>
      <c r="D75" s="198">
        <v>120502</v>
      </c>
      <c r="F75" s="69">
        <f t="shared" si="3"/>
        <v>-8.3557951482479798E-2</v>
      </c>
      <c r="G75" s="69">
        <f t="shared" si="4"/>
        <v>1.7754270633397295E-2</v>
      </c>
      <c r="H75" s="69">
        <f t="shared" si="5"/>
        <v>0.24230146702543331</v>
      </c>
    </row>
    <row r="76" spans="1:8" x14ac:dyDescent="0.2">
      <c r="A76" s="7">
        <v>44214</v>
      </c>
      <c r="B76" s="198">
        <v>7.01</v>
      </c>
      <c r="C76" s="198">
        <v>20.92</v>
      </c>
      <c r="D76" s="198">
        <v>121242</v>
      </c>
      <c r="F76" s="69">
        <f t="shared" si="3"/>
        <v>-5.5256064690026974E-2</v>
      </c>
      <c r="G76" s="69">
        <f t="shared" si="4"/>
        <v>3.8387715930903177E-3</v>
      </c>
      <c r="H76" s="69">
        <f t="shared" si="5"/>
        <v>0.24993041165372842</v>
      </c>
    </row>
    <row r="77" spans="1:8" x14ac:dyDescent="0.2">
      <c r="A77" s="7">
        <v>44215</v>
      </c>
      <c r="B77" s="198">
        <v>7.31</v>
      </c>
      <c r="C77" s="198">
        <v>21.1</v>
      </c>
      <c r="D77" s="198">
        <v>120673</v>
      </c>
      <c r="F77" s="69">
        <f t="shared" si="3"/>
        <v>-1.482479784366586E-2</v>
      </c>
      <c r="G77" s="69">
        <f t="shared" si="4"/>
        <v>1.2476007677543199E-2</v>
      </c>
      <c r="H77" s="69">
        <f t="shared" si="5"/>
        <v>0.24406437179764739</v>
      </c>
    </row>
    <row r="78" spans="1:8" x14ac:dyDescent="0.2">
      <c r="A78" s="7">
        <v>44216</v>
      </c>
      <c r="B78" s="198">
        <v>7.36</v>
      </c>
      <c r="C78" s="198">
        <v>21.030000999999999</v>
      </c>
      <c r="D78" s="198">
        <v>119708</v>
      </c>
      <c r="F78" s="69">
        <f t="shared" si="3"/>
        <v>-8.0862533692721561E-3</v>
      </c>
      <c r="G78" s="69">
        <f t="shared" si="4"/>
        <v>9.1171305182340401E-3</v>
      </c>
      <c r="H78" s="69">
        <f t="shared" si="5"/>
        <v>0.23411581562696515</v>
      </c>
    </row>
    <row r="79" spans="1:8" x14ac:dyDescent="0.2">
      <c r="A79" s="7">
        <v>44217</v>
      </c>
      <c r="B79" s="198">
        <v>7.43</v>
      </c>
      <c r="C79" s="198">
        <v>20.889999</v>
      </c>
      <c r="D79" s="198">
        <v>118443</v>
      </c>
      <c r="F79" s="69">
        <f t="shared" si="3"/>
        <v>1.3477088948787852E-3</v>
      </c>
      <c r="G79" s="69">
        <f t="shared" si="4"/>
        <v>2.3991842610364689E-3</v>
      </c>
      <c r="H79" s="69">
        <f t="shared" si="5"/>
        <v>0.22107444406643362</v>
      </c>
    </row>
    <row r="80" spans="1:8" x14ac:dyDescent="0.2">
      <c r="A80" s="7">
        <v>44218</v>
      </c>
      <c r="B80" s="198">
        <v>7.25</v>
      </c>
      <c r="C80" s="198">
        <v>20.85</v>
      </c>
      <c r="D80" s="198">
        <v>117172</v>
      </c>
      <c r="F80" s="69">
        <f t="shared" si="3"/>
        <v>-2.2911051212938016E-2</v>
      </c>
      <c r="G80" s="69">
        <f t="shared" si="4"/>
        <v>4.7984644913645624E-4</v>
      </c>
      <c r="H80" s="69">
        <f t="shared" si="5"/>
        <v>0.2079712161981051</v>
      </c>
    </row>
    <row r="81" spans="1:8" x14ac:dyDescent="0.2">
      <c r="A81" s="7">
        <v>44222</v>
      </c>
      <c r="B81" s="198">
        <v>6.96</v>
      </c>
      <c r="C81" s="198">
        <v>20.67</v>
      </c>
      <c r="D81" s="198">
        <v>116464</v>
      </c>
      <c r="F81" s="69">
        <f t="shared" si="3"/>
        <v>-6.1994609164420456E-2</v>
      </c>
      <c r="G81" s="69">
        <f t="shared" si="4"/>
        <v>-8.1573896353166475E-3</v>
      </c>
      <c r="H81" s="69">
        <f t="shared" si="5"/>
        <v>0.20067217187806063</v>
      </c>
    </row>
    <row r="82" spans="1:8" x14ac:dyDescent="0.2">
      <c r="A82" s="7">
        <v>44223</v>
      </c>
      <c r="B82" s="198">
        <v>6.94</v>
      </c>
      <c r="C82" s="198">
        <v>20.76</v>
      </c>
      <c r="D82" s="198">
        <v>115882</v>
      </c>
      <c r="F82" s="69">
        <f t="shared" si="3"/>
        <v>-6.4690026954177804E-2</v>
      </c>
      <c r="G82" s="69">
        <f t="shared" si="4"/>
        <v>-3.8387715930900956E-3</v>
      </c>
      <c r="H82" s="69">
        <f t="shared" si="5"/>
        <v>0.19467211002175278</v>
      </c>
    </row>
    <row r="83" spans="1:8" x14ac:dyDescent="0.2">
      <c r="A83" s="7">
        <v>44224</v>
      </c>
      <c r="B83" s="198">
        <v>6.97</v>
      </c>
      <c r="C83" s="198">
        <v>20.92</v>
      </c>
      <c r="D83" s="198">
        <v>119314</v>
      </c>
      <c r="F83" s="69">
        <f t="shared" si="3"/>
        <v>-6.0646900269541781E-2</v>
      </c>
      <c r="G83" s="69">
        <f t="shared" si="4"/>
        <v>3.8387715930903177E-3</v>
      </c>
      <c r="H83" s="69">
        <f t="shared" si="5"/>
        <v>0.23005391808162967</v>
      </c>
    </row>
    <row r="84" spans="1:8" x14ac:dyDescent="0.2">
      <c r="A84" s="7">
        <v>44225</v>
      </c>
      <c r="B84" s="198">
        <v>6.7</v>
      </c>
      <c r="C84" s="198">
        <v>20.299999</v>
      </c>
      <c r="D84" s="198">
        <v>116007</v>
      </c>
      <c r="F84" s="69">
        <f t="shared" si="3"/>
        <v>-9.7035040431266761E-2</v>
      </c>
      <c r="G84" s="69">
        <f t="shared" si="4"/>
        <v>-2.5911756238003902E-2</v>
      </c>
      <c r="H84" s="69">
        <f t="shared" si="5"/>
        <v>0.19596078310085674</v>
      </c>
    </row>
    <row r="85" spans="1:8" x14ac:dyDescent="0.2">
      <c r="A85" s="7">
        <v>44228</v>
      </c>
      <c r="B85" s="198">
        <v>6.79</v>
      </c>
      <c r="C85" s="198">
        <v>21.1</v>
      </c>
      <c r="D85" s="198">
        <v>117365</v>
      </c>
      <c r="F85" s="69">
        <f t="shared" si="3"/>
        <v>-8.4905660377358472E-2</v>
      </c>
      <c r="G85" s="69">
        <f t="shared" si="4"/>
        <v>1.2476007677543199E-2</v>
      </c>
      <c r="H85" s="69">
        <f t="shared" si="5"/>
        <v>0.2099609274322416</v>
      </c>
    </row>
    <row r="86" spans="1:8" x14ac:dyDescent="0.2">
      <c r="A86" s="7">
        <v>44229</v>
      </c>
      <c r="B86" s="198">
        <v>6.77</v>
      </c>
      <c r="C86" s="198">
        <v>20.77</v>
      </c>
      <c r="D86" s="198">
        <v>118234</v>
      </c>
      <c r="F86" s="69">
        <f t="shared" si="3"/>
        <v>-8.7601078167115931E-2</v>
      </c>
      <c r="G86" s="69">
        <f t="shared" si="4"/>
        <v>-3.3589251439539725E-3</v>
      </c>
      <c r="H86" s="69">
        <f t="shared" si="5"/>
        <v>0.21891978267817191</v>
      </c>
    </row>
    <row r="87" spans="1:8" x14ac:dyDescent="0.2">
      <c r="A87" s="7">
        <v>44230</v>
      </c>
      <c r="B87" s="198">
        <v>6.72</v>
      </c>
      <c r="C87" s="198">
        <v>21.700001</v>
      </c>
      <c r="D87" s="198">
        <v>119725</v>
      </c>
      <c r="F87" s="69">
        <f t="shared" si="3"/>
        <v>-9.4339622641509413E-2</v>
      </c>
      <c r="G87" s="69">
        <f t="shared" si="4"/>
        <v>4.1266842610364618E-2</v>
      </c>
      <c r="H87" s="69">
        <f t="shared" si="5"/>
        <v>0.23429107516572345</v>
      </c>
    </row>
    <row r="88" spans="1:8" x14ac:dyDescent="0.2">
      <c r="A88" s="7">
        <v>44231</v>
      </c>
      <c r="B88" s="198">
        <v>6.66</v>
      </c>
      <c r="C88" s="198">
        <v>21.5</v>
      </c>
      <c r="D88" s="198">
        <v>119261</v>
      </c>
      <c r="F88" s="69">
        <f t="shared" si="3"/>
        <v>-0.10242587601078168</v>
      </c>
      <c r="G88" s="69">
        <f t="shared" si="4"/>
        <v>3.1669865642994344E-2</v>
      </c>
      <c r="H88" s="69">
        <f t="shared" si="5"/>
        <v>0.22950752069608971</v>
      </c>
    </row>
    <row r="89" spans="1:8" x14ac:dyDescent="0.2">
      <c r="A89" s="7">
        <v>44232</v>
      </c>
      <c r="B89" s="198">
        <v>6.64</v>
      </c>
      <c r="C89" s="198">
        <v>21.35</v>
      </c>
      <c r="D89" s="198">
        <v>119925</v>
      </c>
      <c r="F89" s="69">
        <f t="shared" si="3"/>
        <v>-0.10512129380053914</v>
      </c>
      <c r="G89" s="69">
        <f t="shared" si="4"/>
        <v>2.4472168905950165E-2</v>
      </c>
      <c r="H89" s="69">
        <f t="shared" si="5"/>
        <v>0.23635295209228957</v>
      </c>
    </row>
    <row r="90" spans="1:8" x14ac:dyDescent="0.2">
      <c r="A90" s="7">
        <v>44235</v>
      </c>
      <c r="B90" s="198">
        <v>6.5</v>
      </c>
      <c r="C90" s="198">
        <v>21.35</v>
      </c>
      <c r="D90" s="198">
        <v>119516</v>
      </c>
      <c r="F90" s="69">
        <f t="shared" si="3"/>
        <v>-0.12398921832884091</v>
      </c>
      <c r="G90" s="69">
        <f t="shared" si="4"/>
        <v>2.4472168905950165E-2</v>
      </c>
      <c r="H90" s="69">
        <f t="shared" si="5"/>
        <v>0.23213641377746153</v>
      </c>
    </row>
    <row r="91" spans="1:8" x14ac:dyDescent="0.2">
      <c r="A91" s="7">
        <v>44236</v>
      </c>
      <c r="B91" s="198">
        <v>6.4</v>
      </c>
      <c r="C91" s="198">
        <v>20.85</v>
      </c>
      <c r="D91" s="198">
        <v>119429</v>
      </c>
      <c r="F91" s="69">
        <f t="shared" si="3"/>
        <v>-0.13746630727762799</v>
      </c>
      <c r="G91" s="69">
        <f t="shared" si="4"/>
        <v>4.7984644913645624E-4</v>
      </c>
      <c r="H91" s="69">
        <f t="shared" si="5"/>
        <v>0.23123949731440541</v>
      </c>
    </row>
    <row r="92" spans="1:8" x14ac:dyDescent="0.2">
      <c r="A92" s="7">
        <v>44237</v>
      </c>
      <c r="B92" s="198">
        <v>6.32</v>
      </c>
      <c r="C92" s="198">
        <v>20.129999000000002</v>
      </c>
      <c r="D92" s="198">
        <v>118430</v>
      </c>
      <c r="F92" s="69">
        <f t="shared" si="3"/>
        <v>-0.1482479784366576</v>
      </c>
      <c r="G92" s="69">
        <f t="shared" si="4"/>
        <v>-3.4069145873320439E-2</v>
      </c>
      <c r="H92" s="69">
        <f t="shared" si="5"/>
        <v>0.22094042206620679</v>
      </c>
    </row>
    <row r="93" spans="1:8" x14ac:dyDescent="0.2">
      <c r="A93" s="7">
        <v>44238</v>
      </c>
      <c r="B93" s="198">
        <v>6.44</v>
      </c>
      <c r="C93" s="198">
        <v>19.809999000000001</v>
      </c>
      <c r="D93" s="198">
        <v>119235</v>
      </c>
      <c r="F93" s="69">
        <f t="shared" si="3"/>
        <v>-0.13207547169811318</v>
      </c>
      <c r="G93" s="69">
        <f t="shared" si="4"/>
        <v>-4.9424232245681265E-2</v>
      </c>
      <c r="H93" s="69">
        <f t="shared" si="5"/>
        <v>0.22923947669563605</v>
      </c>
    </row>
    <row r="94" spans="1:8" x14ac:dyDescent="0.2">
      <c r="A94" s="7">
        <v>44239</v>
      </c>
      <c r="B94" s="198">
        <v>6.48</v>
      </c>
      <c r="C94" s="198">
        <v>20.18</v>
      </c>
      <c r="D94" s="198">
        <v>119116</v>
      </c>
      <c r="F94" s="69">
        <f t="shared" si="3"/>
        <v>-0.12668463611859837</v>
      </c>
      <c r="G94" s="69">
        <f t="shared" si="4"/>
        <v>-3.1669865642994233E-2</v>
      </c>
      <c r="H94" s="69">
        <f t="shared" si="5"/>
        <v>0.22801265992432906</v>
      </c>
    </row>
    <row r="95" spans="1:8" x14ac:dyDescent="0.2">
      <c r="A95" s="7">
        <v>44245</v>
      </c>
      <c r="B95" s="198">
        <v>6.6</v>
      </c>
      <c r="C95" s="198">
        <v>20.299999</v>
      </c>
      <c r="D95" s="198">
        <v>119140</v>
      </c>
      <c r="F95" s="69">
        <f t="shared" si="3"/>
        <v>-0.11051212938005395</v>
      </c>
      <c r="G95" s="69">
        <f t="shared" si="4"/>
        <v>-2.5911756238003902E-2</v>
      </c>
      <c r="H95" s="69">
        <f t="shared" si="5"/>
        <v>0.22826008515551699</v>
      </c>
    </row>
    <row r="96" spans="1:8" x14ac:dyDescent="0.2">
      <c r="A96" s="7">
        <v>44246</v>
      </c>
      <c r="B96" s="198">
        <v>6.7</v>
      </c>
      <c r="C96" s="198">
        <v>19.57</v>
      </c>
      <c r="D96" s="198">
        <v>118748</v>
      </c>
      <c r="F96" s="69">
        <f t="shared" si="3"/>
        <v>-9.7035040431266761E-2</v>
      </c>
      <c r="G96" s="69">
        <f t="shared" si="4"/>
        <v>-6.0940499040307072E-2</v>
      </c>
      <c r="H96" s="69">
        <f t="shared" si="5"/>
        <v>0.22421880637944724</v>
      </c>
    </row>
    <row r="97" spans="1:8" x14ac:dyDescent="0.2">
      <c r="A97" s="7">
        <v>44249</v>
      </c>
      <c r="B97" s="198">
        <v>6.85</v>
      </c>
      <c r="C97" s="198">
        <v>19.09</v>
      </c>
      <c r="D97" s="198">
        <v>112668</v>
      </c>
      <c r="F97" s="69">
        <f t="shared" si="3"/>
        <v>-7.6819407008086316E-2</v>
      </c>
      <c r="G97" s="69">
        <f t="shared" si="4"/>
        <v>-8.3973128598848423E-2</v>
      </c>
      <c r="H97" s="69">
        <f t="shared" si="5"/>
        <v>0.16153774781183317</v>
      </c>
    </row>
    <row r="98" spans="1:8" x14ac:dyDescent="0.2">
      <c r="A98" s="7">
        <v>44250</v>
      </c>
      <c r="B98" s="198">
        <v>6.8</v>
      </c>
      <c r="C98" s="198">
        <v>19.459999</v>
      </c>
      <c r="D98" s="198">
        <v>115227</v>
      </c>
      <c r="F98" s="69">
        <f t="shared" si="3"/>
        <v>-8.3557951482479798E-2</v>
      </c>
      <c r="G98" s="69">
        <f t="shared" si="4"/>
        <v>-6.6218857965451017E-2</v>
      </c>
      <c r="H98" s="69">
        <f t="shared" si="5"/>
        <v>0.18791946308724827</v>
      </c>
    </row>
    <row r="99" spans="1:8" x14ac:dyDescent="0.2">
      <c r="A99" s="7">
        <v>44251</v>
      </c>
      <c r="B99" s="198">
        <v>6.86</v>
      </c>
      <c r="C99" s="198">
        <v>19.25</v>
      </c>
      <c r="D99" s="198">
        <v>115668</v>
      </c>
      <c r="F99" s="69">
        <f t="shared" si="3"/>
        <v>-7.547169811320753E-2</v>
      </c>
      <c r="G99" s="69">
        <f t="shared" si="4"/>
        <v>-7.6295585412667899E-2</v>
      </c>
      <c r="H99" s="69">
        <f t="shared" si="5"/>
        <v>0.19246590171032696</v>
      </c>
    </row>
    <row r="100" spans="1:8" x14ac:dyDescent="0.2">
      <c r="A100" s="7">
        <v>44252</v>
      </c>
      <c r="B100" s="198">
        <v>6.55</v>
      </c>
      <c r="C100" s="198">
        <v>18.649999999999999</v>
      </c>
      <c r="D100" s="198">
        <v>112256</v>
      </c>
      <c r="F100" s="69">
        <f t="shared" si="3"/>
        <v>-0.11725067385444743</v>
      </c>
      <c r="G100" s="69">
        <f t="shared" si="4"/>
        <v>-0.10508637236084462</v>
      </c>
      <c r="H100" s="69">
        <f t="shared" si="5"/>
        <v>0.15729028134310652</v>
      </c>
    </row>
    <row r="101" spans="1:8" x14ac:dyDescent="0.2">
      <c r="A101" s="7">
        <v>44253</v>
      </c>
      <c r="B101" s="198">
        <v>6.44</v>
      </c>
      <c r="C101" s="198">
        <v>18.100000000000001</v>
      </c>
      <c r="D101" s="198">
        <v>110035</v>
      </c>
      <c r="F101" s="69">
        <f t="shared" si="3"/>
        <v>-0.13207547169811318</v>
      </c>
      <c r="G101" s="69">
        <f t="shared" si="4"/>
        <v>-0.13147792706333961</v>
      </c>
      <c r="H101" s="69">
        <f t="shared" si="5"/>
        <v>0.13439313807358833</v>
      </c>
    </row>
    <row r="102" spans="1:8" x14ac:dyDescent="0.2">
      <c r="A102" s="7">
        <v>44256</v>
      </c>
      <c r="B102" s="198">
        <v>6.25</v>
      </c>
      <c r="C102" s="198">
        <v>18.079999999999998</v>
      </c>
      <c r="D102" s="198">
        <v>110335</v>
      </c>
      <c r="F102" s="69">
        <f t="shared" si="3"/>
        <v>-0.15768194070080865</v>
      </c>
      <c r="G102" s="69">
        <f t="shared" si="4"/>
        <v>-0.13243761996161241</v>
      </c>
      <c r="H102" s="69">
        <f t="shared" si="5"/>
        <v>0.13748595346343784</v>
      </c>
    </row>
    <row r="103" spans="1:8" x14ac:dyDescent="0.2">
      <c r="A103" s="7">
        <v>44257</v>
      </c>
      <c r="B103" s="198">
        <v>6.1</v>
      </c>
      <c r="C103" s="198">
        <v>18.299999</v>
      </c>
      <c r="D103" s="198">
        <v>111540</v>
      </c>
      <c r="F103" s="69">
        <f t="shared" si="3"/>
        <v>-0.17789757412398921</v>
      </c>
      <c r="G103" s="69">
        <f t="shared" si="4"/>
        <v>-0.12188104606525918</v>
      </c>
      <c r="H103" s="69">
        <f t="shared" si="5"/>
        <v>0.14990876194599934</v>
      </c>
    </row>
    <row r="104" spans="1:8" x14ac:dyDescent="0.2">
      <c r="A104" s="7">
        <v>44258</v>
      </c>
      <c r="B104" s="198">
        <v>6.13</v>
      </c>
      <c r="C104" s="198">
        <v>18.489999999999998</v>
      </c>
      <c r="D104" s="198">
        <v>111184</v>
      </c>
      <c r="F104" s="69">
        <f t="shared" si="3"/>
        <v>-0.17385444743935308</v>
      </c>
      <c r="G104" s="69">
        <f t="shared" si="4"/>
        <v>-0.11276391554702503</v>
      </c>
      <c r="H104" s="69">
        <f t="shared" si="5"/>
        <v>0.14623862101671148</v>
      </c>
    </row>
    <row r="105" spans="1:8" x14ac:dyDescent="0.2">
      <c r="A105" s="7">
        <v>44259</v>
      </c>
      <c r="B105" s="198">
        <v>6.19</v>
      </c>
      <c r="C105" s="198">
        <v>19.850000000000001</v>
      </c>
      <c r="D105" s="198">
        <v>112690</v>
      </c>
      <c r="F105" s="69">
        <f t="shared" si="3"/>
        <v>-0.16576819407008081</v>
      </c>
      <c r="G105" s="69">
        <f t="shared" si="4"/>
        <v>-4.7504798464491294E-2</v>
      </c>
      <c r="H105" s="69">
        <f t="shared" si="5"/>
        <v>0.16176455427375536</v>
      </c>
    </row>
    <row r="106" spans="1:8" x14ac:dyDescent="0.2">
      <c r="A106" s="7">
        <v>44260</v>
      </c>
      <c r="B106" s="198">
        <v>5.96</v>
      </c>
      <c r="C106" s="198">
        <v>20.309999000000001</v>
      </c>
      <c r="D106" s="198">
        <v>115202</v>
      </c>
      <c r="F106" s="69">
        <f t="shared" si="3"/>
        <v>-0.19676549865229109</v>
      </c>
      <c r="G106" s="69">
        <f t="shared" si="4"/>
        <v>-2.5431909788867446E-2</v>
      </c>
      <c r="H106" s="69">
        <f t="shared" si="5"/>
        <v>0.18766172847142748</v>
      </c>
    </row>
    <row r="107" spans="1:8" x14ac:dyDescent="0.2">
      <c r="A107" s="7">
        <v>44263</v>
      </c>
      <c r="B107" s="198">
        <v>5.39</v>
      </c>
      <c r="C107" s="198">
        <v>18.700001</v>
      </c>
      <c r="D107" s="198">
        <v>110612</v>
      </c>
      <c r="F107" s="69">
        <f t="shared" si="3"/>
        <v>-0.27358490566037741</v>
      </c>
      <c r="G107" s="69">
        <f t="shared" si="4"/>
        <v>-0.10268709213051819</v>
      </c>
      <c r="H107" s="69">
        <f t="shared" si="5"/>
        <v>0.14034165300673207</v>
      </c>
    </row>
    <row r="108" spans="1:8" x14ac:dyDescent="0.2">
      <c r="A108" s="7">
        <v>44264</v>
      </c>
      <c r="B108" s="198">
        <v>5.36</v>
      </c>
      <c r="C108" s="198">
        <v>18.43</v>
      </c>
      <c r="D108" s="198">
        <v>111331</v>
      </c>
      <c r="F108" s="69">
        <f t="shared" si="3"/>
        <v>-0.27762803234501343</v>
      </c>
      <c r="G108" s="69">
        <f t="shared" si="4"/>
        <v>-0.11564299424184266</v>
      </c>
      <c r="H108" s="69">
        <f t="shared" si="5"/>
        <v>0.14775410055773763</v>
      </c>
    </row>
    <row r="109" spans="1:8" x14ac:dyDescent="0.2">
      <c r="A109" s="7">
        <v>44265</v>
      </c>
      <c r="B109" s="198">
        <v>5.25</v>
      </c>
      <c r="C109" s="198">
        <v>18.52</v>
      </c>
      <c r="D109" s="198">
        <v>112776</v>
      </c>
      <c r="F109" s="69">
        <f t="shared" si="3"/>
        <v>-0.29245283018867929</v>
      </c>
      <c r="G109" s="69">
        <f t="shared" si="4"/>
        <v>-0.1113243761996161</v>
      </c>
      <c r="H109" s="69">
        <f t="shared" si="5"/>
        <v>0.16265116135217883</v>
      </c>
    </row>
    <row r="110" spans="1:8" x14ac:dyDescent="0.2">
      <c r="A110" s="7">
        <v>44266</v>
      </c>
      <c r="B110" s="198">
        <v>5.35</v>
      </c>
      <c r="C110" s="198">
        <v>19.809999000000001</v>
      </c>
      <c r="D110" s="198">
        <v>114984</v>
      </c>
      <c r="F110" s="69">
        <f t="shared" si="3"/>
        <v>-0.27897574123989222</v>
      </c>
      <c r="G110" s="69">
        <f t="shared" si="4"/>
        <v>-4.9424232245681265E-2</v>
      </c>
      <c r="H110" s="69">
        <f t="shared" si="5"/>
        <v>0.18541428262147042</v>
      </c>
    </row>
    <row r="111" spans="1:8" x14ac:dyDescent="0.2">
      <c r="A111" s="7">
        <v>44267</v>
      </c>
      <c r="B111" s="198">
        <v>5.38</v>
      </c>
      <c r="C111" s="198">
        <v>19.709999</v>
      </c>
      <c r="D111" s="198">
        <v>114160</v>
      </c>
      <c r="F111" s="69">
        <f t="shared" si="3"/>
        <v>-0.27493261455525608</v>
      </c>
      <c r="G111" s="69">
        <f t="shared" si="4"/>
        <v>-5.4222696737044163E-2</v>
      </c>
      <c r="H111" s="69">
        <f t="shared" si="5"/>
        <v>0.17691934968401735</v>
      </c>
    </row>
    <row r="112" spans="1:8" x14ac:dyDescent="0.2">
      <c r="A112" s="7">
        <v>44270</v>
      </c>
      <c r="B112" s="198">
        <v>5.67</v>
      </c>
      <c r="C112" s="198">
        <v>20.059999000000001</v>
      </c>
      <c r="D112" s="198">
        <v>114851</v>
      </c>
      <c r="F112" s="69">
        <f t="shared" si="3"/>
        <v>-0.23584905660377353</v>
      </c>
      <c r="G112" s="69">
        <f t="shared" si="4"/>
        <v>-3.7428071017274411E-2</v>
      </c>
      <c r="H112" s="69">
        <f t="shared" si="5"/>
        <v>0.18404313446530374</v>
      </c>
    </row>
    <row r="113" spans="1:8" x14ac:dyDescent="0.2">
      <c r="A113" s="7">
        <v>44271</v>
      </c>
      <c r="B113" s="198">
        <v>5.68</v>
      </c>
      <c r="C113" s="198">
        <v>19.200001</v>
      </c>
      <c r="D113" s="198">
        <v>114019</v>
      </c>
      <c r="F113" s="69">
        <f t="shared" si="3"/>
        <v>-0.23450134770889486</v>
      </c>
      <c r="G113" s="69">
        <f t="shared" si="4"/>
        <v>-7.8694769673704368E-2</v>
      </c>
      <c r="H113" s="69">
        <f t="shared" si="5"/>
        <v>0.17546572645078817</v>
      </c>
    </row>
    <row r="114" spans="1:8" x14ac:dyDescent="0.2">
      <c r="A114" s="7">
        <v>44272</v>
      </c>
      <c r="B114" s="198">
        <v>5.61</v>
      </c>
      <c r="C114" s="198">
        <v>20.57</v>
      </c>
      <c r="D114" s="198">
        <v>116549</v>
      </c>
      <c r="F114" s="69">
        <f t="shared" si="3"/>
        <v>-0.2439353099730458</v>
      </c>
      <c r="G114" s="69">
        <f t="shared" si="4"/>
        <v>-1.2955854126679434E-2</v>
      </c>
      <c r="H114" s="69">
        <f t="shared" si="5"/>
        <v>0.20154846957185124</v>
      </c>
    </row>
    <row r="115" spans="1:8" x14ac:dyDescent="0.2">
      <c r="A115" s="7">
        <v>44273</v>
      </c>
      <c r="B115" s="198">
        <v>5.76</v>
      </c>
      <c r="C115" s="198">
        <v>20.27</v>
      </c>
      <c r="D115" s="198">
        <v>114835</v>
      </c>
      <c r="F115" s="69">
        <f t="shared" si="3"/>
        <v>-0.22371967654986524</v>
      </c>
      <c r="G115" s="69">
        <f t="shared" si="4"/>
        <v>-2.7351247600767792E-2</v>
      </c>
      <c r="H115" s="69">
        <f t="shared" si="5"/>
        <v>0.18387818431117853</v>
      </c>
    </row>
    <row r="116" spans="1:8" x14ac:dyDescent="0.2">
      <c r="A116" s="7">
        <v>44274</v>
      </c>
      <c r="B116" s="198">
        <v>5.84</v>
      </c>
      <c r="C116" s="198">
        <v>20.77</v>
      </c>
      <c r="D116" s="198">
        <v>116222</v>
      </c>
      <c r="F116" s="69">
        <f t="shared" si="3"/>
        <v>-0.21293800539083563</v>
      </c>
      <c r="G116" s="69">
        <f t="shared" si="4"/>
        <v>-3.3589251439539725E-3</v>
      </c>
      <c r="H116" s="69">
        <f t="shared" si="5"/>
        <v>0.19817730079691542</v>
      </c>
    </row>
    <row r="117" spans="1:8" x14ac:dyDescent="0.2">
      <c r="A117" s="7">
        <v>44277</v>
      </c>
      <c r="B117" s="198">
        <v>5.79</v>
      </c>
      <c r="C117" s="198">
        <v>20.399999999999999</v>
      </c>
      <c r="D117" s="198">
        <v>114979</v>
      </c>
      <c r="F117" s="69">
        <f t="shared" si="3"/>
        <v>-0.21967654986522911</v>
      </c>
      <c r="G117" s="69">
        <f t="shared" si="4"/>
        <v>-2.1113243761996192E-2</v>
      </c>
      <c r="H117" s="69">
        <f t="shared" si="5"/>
        <v>0.18536273569830608</v>
      </c>
    </row>
    <row r="118" spans="1:8" x14ac:dyDescent="0.2">
      <c r="A118" s="7">
        <v>44278</v>
      </c>
      <c r="B118" s="198">
        <v>5.71</v>
      </c>
      <c r="C118" s="198">
        <v>19.98</v>
      </c>
      <c r="D118" s="198">
        <v>113262</v>
      </c>
      <c r="F118" s="69">
        <f t="shared" si="3"/>
        <v>-0.23045822102425872</v>
      </c>
      <c r="G118" s="69">
        <f t="shared" si="4"/>
        <v>-4.1266794625719694E-2</v>
      </c>
      <c r="H118" s="69">
        <f t="shared" si="5"/>
        <v>0.16766152228373499</v>
      </c>
    </row>
    <row r="119" spans="1:8" x14ac:dyDescent="0.2">
      <c r="A119" s="7">
        <v>44279</v>
      </c>
      <c r="B119" s="198">
        <v>5.72</v>
      </c>
      <c r="C119" s="198">
        <v>19.610001</v>
      </c>
      <c r="D119" s="198">
        <v>112064</v>
      </c>
      <c r="F119" s="69">
        <f t="shared" si="3"/>
        <v>-0.22911051212938005</v>
      </c>
      <c r="G119" s="69">
        <f t="shared" si="4"/>
        <v>-5.90210652591171E-2</v>
      </c>
      <c r="H119" s="69">
        <f t="shared" si="5"/>
        <v>0.15531087949360312</v>
      </c>
    </row>
    <row r="120" spans="1:8" x14ac:dyDescent="0.2">
      <c r="A120" s="7">
        <v>44280</v>
      </c>
      <c r="B120" s="198">
        <v>5.93</v>
      </c>
      <c r="C120" s="198">
        <v>19.799999</v>
      </c>
      <c r="D120" s="198">
        <v>113750</v>
      </c>
      <c r="F120" s="69">
        <f t="shared" si="3"/>
        <v>-0.20080862533692723</v>
      </c>
      <c r="G120" s="69">
        <f t="shared" si="4"/>
        <v>-4.9904078694817722E-2</v>
      </c>
      <c r="H120" s="69">
        <f t="shared" si="5"/>
        <v>0.17269250198455643</v>
      </c>
    </row>
    <row r="121" spans="1:8" x14ac:dyDescent="0.2">
      <c r="A121" s="7">
        <v>44281</v>
      </c>
      <c r="B121" s="198">
        <v>5.94</v>
      </c>
      <c r="C121" s="198">
        <v>19.700001</v>
      </c>
      <c r="D121" s="198">
        <v>114781</v>
      </c>
      <c r="F121" s="69">
        <f t="shared" si="3"/>
        <v>-0.19946091644204844</v>
      </c>
      <c r="G121" s="69">
        <f t="shared" si="4"/>
        <v>-5.4702447216890548E-2</v>
      </c>
      <c r="H121" s="69">
        <f t="shared" si="5"/>
        <v>0.18332147754100547</v>
      </c>
    </row>
    <row r="122" spans="1:8" x14ac:dyDescent="0.2">
      <c r="A122" s="7">
        <v>44284</v>
      </c>
      <c r="B122" s="198">
        <v>5.79</v>
      </c>
      <c r="C122" s="198">
        <v>19.93</v>
      </c>
      <c r="D122" s="198">
        <v>115419</v>
      </c>
      <c r="F122" s="69">
        <f t="shared" si="3"/>
        <v>-0.21967654986522911</v>
      </c>
      <c r="G122" s="69">
        <f t="shared" si="4"/>
        <v>-4.3666026871401198E-2</v>
      </c>
      <c r="H122" s="69">
        <f t="shared" si="5"/>
        <v>0.1898988649367519</v>
      </c>
    </row>
    <row r="123" spans="1:8" x14ac:dyDescent="0.2">
      <c r="A123" s="7">
        <v>44285</v>
      </c>
      <c r="B123" s="198">
        <v>5.92</v>
      </c>
      <c r="C123" s="198">
        <v>20.120000999999998</v>
      </c>
      <c r="D123" s="198">
        <v>116850</v>
      </c>
      <c r="F123" s="69">
        <f t="shared" si="3"/>
        <v>-0.2021563342318059</v>
      </c>
      <c r="G123" s="69">
        <f t="shared" si="4"/>
        <v>-3.4548896353167047E-2</v>
      </c>
      <c r="H123" s="69">
        <f t="shared" si="5"/>
        <v>0.2046515943463334</v>
      </c>
    </row>
    <row r="124" spans="1:8" x14ac:dyDescent="0.2">
      <c r="A124" s="7">
        <v>44286</v>
      </c>
      <c r="B124" s="198">
        <v>5.96</v>
      </c>
      <c r="C124" s="198">
        <v>20.25</v>
      </c>
      <c r="D124" s="198">
        <v>116634</v>
      </c>
      <c r="F124" s="69">
        <f t="shared" si="3"/>
        <v>-0.19676549865229109</v>
      </c>
      <c r="G124" s="69">
        <f t="shared" si="4"/>
        <v>-2.831094049904026E-2</v>
      </c>
      <c r="H124" s="69">
        <f t="shared" si="5"/>
        <v>0.20242476726564185</v>
      </c>
    </row>
    <row r="125" spans="1:8" x14ac:dyDescent="0.2">
      <c r="A125" s="7">
        <v>44287</v>
      </c>
      <c r="B125" s="198">
        <v>6.03</v>
      </c>
      <c r="C125" s="198">
        <v>20.16</v>
      </c>
      <c r="D125" s="198">
        <v>115253</v>
      </c>
      <c r="F125" s="69">
        <f t="shared" si="3"/>
        <v>-0.18733153638814015</v>
      </c>
      <c r="G125" s="69">
        <f t="shared" si="4"/>
        <v>-3.2629558541266812E-2</v>
      </c>
      <c r="H125" s="69">
        <f t="shared" si="5"/>
        <v>0.18818750708770193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95E3-308D-47AD-9B4E-CAC42CB31188}">
  <sheetPr>
    <tabColor theme="1" tint="0.499984740745262"/>
  </sheetPr>
  <dimension ref="A1:BA27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0" style="1" hidden="1" customWidth="1" outlineLevel="1"/>
    <col min="7" max="7" width="9.140625" style="1" collapsed="1"/>
    <col min="8" max="16384" width="9.140625" style="1"/>
  </cols>
  <sheetData>
    <row r="1" spans="1:53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3" s="5" customFormat="1" ht="16.5" x14ac:dyDescent="0.3">
      <c r="A2" s="6" t="s">
        <v>559</v>
      </c>
      <c r="D2" s="211">
        <f ca="1">+Ctrl!G10</f>
        <v>0.32102203236261162</v>
      </c>
    </row>
    <row r="3" spans="1:53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O3" s="8"/>
      <c r="Q3" s="8" t="str">
        <f t="shared" ref="Q3:AU3" si="1">+MONTH(Q5)/3&amp;"Q"&amp;RIGHT(YEAR(Q5),2)</f>
        <v>1Q18</v>
      </c>
      <c r="R3" s="8" t="str">
        <f t="shared" si="1"/>
        <v>2Q18</v>
      </c>
      <c r="S3" s="8" t="str">
        <f t="shared" si="1"/>
        <v>3Q18</v>
      </c>
      <c r="T3" s="8" t="str">
        <f t="shared" si="1"/>
        <v>4Q18</v>
      </c>
      <c r="U3" s="8" t="str">
        <f t="shared" si="1"/>
        <v>1Q19</v>
      </c>
      <c r="V3" s="8" t="str">
        <f t="shared" si="1"/>
        <v>2Q19</v>
      </c>
      <c r="W3" s="8" t="str">
        <f t="shared" si="1"/>
        <v>3Q19</v>
      </c>
      <c r="X3" s="8" t="str">
        <f t="shared" si="1"/>
        <v>4Q19</v>
      </c>
      <c r="Y3" s="8" t="str">
        <f t="shared" si="1"/>
        <v>1Q20</v>
      </c>
      <c r="Z3" s="8" t="str">
        <f t="shared" si="1"/>
        <v>2Q20</v>
      </c>
      <c r="AA3" s="8" t="str">
        <f t="shared" si="1"/>
        <v>3Q20</v>
      </c>
      <c r="AB3" s="8" t="str">
        <f t="shared" si="1"/>
        <v>4Q20</v>
      </c>
      <c r="AC3" s="8" t="str">
        <f t="shared" si="1"/>
        <v>1Q21</v>
      </c>
      <c r="AD3" s="8" t="str">
        <f t="shared" si="1"/>
        <v>2Q21</v>
      </c>
      <c r="AE3" s="8" t="str">
        <f t="shared" si="1"/>
        <v>3Q21</v>
      </c>
      <c r="AF3" s="8" t="str">
        <f t="shared" si="1"/>
        <v>4Q21</v>
      </c>
      <c r="AG3" s="8" t="str">
        <f t="shared" si="1"/>
        <v>1Q22</v>
      </c>
      <c r="AH3" s="8" t="str">
        <f t="shared" si="1"/>
        <v>2Q22</v>
      </c>
      <c r="AI3" s="8" t="str">
        <f t="shared" si="1"/>
        <v>3Q22</v>
      </c>
      <c r="AJ3" s="8" t="str">
        <f t="shared" si="1"/>
        <v>4Q22</v>
      </c>
      <c r="AK3" s="8" t="str">
        <f t="shared" si="1"/>
        <v>1Q23</v>
      </c>
      <c r="AL3" s="8" t="str">
        <f t="shared" si="1"/>
        <v>2Q23</v>
      </c>
      <c r="AM3" s="8" t="str">
        <f t="shared" si="1"/>
        <v>3Q23</v>
      </c>
      <c r="AN3" s="8" t="str">
        <f t="shared" si="1"/>
        <v>4Q23</v>
      </c>
      <c r="AO3" s="8" t="str">
        <f t="shared" si="1"/>
        <v>1Q24</v>
      </c>
      <c r="AP3" s="8" t="str">
        <f t="shared" si="1"/>
        <v>2Q24</v>
      </c>
      <c r="AQ3" s="8" t="str">
        <f t="shared" si="1"/>
        <v>3Q24</v>
      </c>
      <c r="AR3" s="8" t="str">
        <f t="shared" si="1"/>
        <v>4Q24</v>
      </c>
      <c r="AS3" s="8" t="str">
        <f t="shared" si="1"/>
        <v>1Q25</v>
      </c>
      <c r="AT3" s="8" t="str">
        <f t="shared" si="1"/>
        <v>2Q25</v>
      </c>
      <c r="AU3" s="8" t="str">
        <f t="shared" si="1"/>
        <v>3Q25</v>
      </c>
      <c r="AV3" s="8" t="str">
        <f>+MONTH(AV5)/3&amp;"Q"&amp;RIGHT(YEAR(AV5),2)</f>
        <v>4Q25</v>
      </c>
      <c r="AW3" s="8" t="str">
        <f>+MONTH(AW5)/3&amp;"Q"&amp;RIGHT(YEAR(AW5),2)</f>
        <v>1Q26</v>
      </c>
      <c r="AX3" s="8" t="str">
        <f>+MONTH(AX5)/3&amp;"Q"&amp;RIGHT(YEAR(AX5),2)</f>
        <v>2Q26</v>
      </c>
      <c r="AY3" s="8" t="str">
        <f>+MONTH(AY5)/3&amp;"Q"&amp;RIGHT(YEAR(AY5),2)</f>
        <v>3Q26</v>
      </c>
      <c r="AZ3" s="8" t="str">
        <f>+MONTH(AZ5)/3&amp;"Q"&amp;RIGHT(YEAR(AZ5),2)</f>
        <v>4Q26</v>
      </c>
      <c r="BA3" s="8"/>
    </row>
    <row r="4" spans="1:53" hidden="1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2">+H5+1</f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O4" s="7"/>
      <c r="Q4" s="10">
        <v>43101</v>
      </c>
      <c r="R4" s="7">
        <f t="shared" ref="R4:AZ4" si="3">+Q5+1</f>
        <v>43191</v>
      </c>
      <c r="S4" s="7">
        <f t="shared" si="3"/>
        <v>43282</v>
      </c>
      <c r="T4" s="7">
        <f t="shared" si="3"/>
        <v>43374</v>
      </c>
      <c r="U4" s="7">
        <f t="shared" si="3"/>
        <v>43466</v>
      </c>
      <c r="V4" s="7">
        <f t="shared" si="3"/>
        <v>43556</v>
      </c>
      <c r="W4" s="7">
        <f t="shared" si="3"/>
        <v>43647</v>
      </c>
      <c r="X4" s="7">
        <f t="shared" si="3"/>
        <v>43739</v>
      </c>
      <c r="Y4" s="7">
        <f t="shared" si="3"/>
        <v>43831</v>
      </c>
      <c r="Z4" s="7">
        <f t="shared" si="3"/>
        <v>43922</v>
      </c>
      <c r="AA4" s="7">
        <f t="shared" si="3"/>
        <v>44013</v>
      </c>
      <c r="AB4" s="7">
        <f t="shared" si="3"/>
        <v>44105</v>
      </c>
      <c r="AC4" s="7">
        <f t="shared" si="3"/>
        <v>44197</v>
      </c>
      <c r="AD4" s="7">
        <f t="shared" si="3"/>
        <v>44287</v>
      </c>
      <c r="AE4" s="7">
        <f t="shared" si="3"/>
        <v>44378</v>
      </c>
      <c r="AF4" s="7">
        <f t="shared" si="3"/>
        <v>44470</v>
      </c>
      <c r="AG4" s="7">
        <f t="shared" si="3"/>
        <v>44562</v>
      </c>
      <c r="AH4" s="7">
        <f t="shared" si="3"/>
        <v>44652</v>
      </c>
      <c r="AI4" s="7">
        <f t="shared" si="3"/>
        <v>44743</v>
      </c>
      <c r="AJ4" s="7">
        <f t="shared" si="3"/>
        <v>44835</v>
      </c>
      <c r="AK4" s="7">
        <f t="shared" si="3"/>
        <v>44927</v>
      </c>
      <c r="AL4" s="7">
        <f t="shared" si="3"/>
        <v>45017</v>
      </c>
      <c r="AM4" s="7">
        <f t="shared" si="3"/>
        <v>45108</v>
      </c>
      <c r="AN4" s="7">
        <f t="shared" si="3"/>
        <v>45200</v>
      </c>
      <c r="AO4" s="7">
        <f t="shared" si="3"/>
        <v>45292</v>
      </c>
      <c r="AP4" s="7">
        <f t="shared" si="3"/>
        <v>45383</v>
      </c>
      <c r="AQ4" s="7">
        <f t="shared" si="3"/>
        <v>45474</v>
      </c>
      <c r="AR4" s="7">
        <f t="shared" si="3"/>
        <v>45566</v>
      </c>
      <c r="AS4" s="7">
        <f t="shared" si="3"/>
        <v>45658</v>
      </c>
      <c r="AT4" s="7">
        <f t="shared" si="3"/>
        <v>45748</v>
      </c>
      <c r="AU4" s="7">
        <f t="shared" si="3"/>
        <v>45839</v>
      </c>
      <c r="AV4" s="7">
        <f t="shared" si="3"/>
        <v>45931</v>
      </c>
      <c r="AW4" s="7">
        <f t="shared" si="3"/>
        <v>46023</v>
      </c>
      <c r="AX4" s="7">
        <f t="shared" si="3"/>
        <v>46113</v>
      </c>
      <c r="AY4" s="7">
        <f t="shared" si="3"/>
        <v>46204</v>
      </c>
      <c r="AZ4" s="7">
        <f t="shared" si="3"/>
        <v>46296</v>
      </c>
      <c r="BA4" s="7"/>
    </row>
    <row r="5" spans="1:53" hidden="1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4">+EOMONTH(I4,11)</f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O5" s="7"/>
      <c r="Q5" s="7">
        <f t="shared" ref="Q5:AZ5" si="5">+EOMONTH(Q4,2)</f>
        <v>43190</v>
      </c>
      <c r="R5" s="7">
        <f t="shared" si="5"/>
        <v>43281</v>
      </c>
      <c r="S5" s="7">
        <f t="shared" si="5"/>
        <v>43373</v>
      </c>
      <c r="T5" s="7">
        <f t="shared" si="5"/>
        <v>43465</v>
      </c>
      <c r="U5" s="7">
        <f t="shared" si="5"/>
        <v>43555</v>
      </c>
      <c r="V5" s="7">
        <f t="shared" si="5"/>
        <v>43646</v>
      </c>
      <c r="W5" s="7">
        <f t="shared" si="5"/>
        <v>43738</v>
      </c>
      <c r="X5" s="7">
        <f t="shared" si="5"/>
        <v>43830</v>
      </c>
      <c r="Y5" s="7">
        <f t="shared" si="5"/>
        <v>43921</v>
      </c>
      <c r="Z5" s="7">
        <f t="shared" si="5"/>
        <v>44012</v>
      </c>
      <c r="AA5" s="7">
        <f t="shared" si="5"/>
        <v>44104</v>
      </c>
      <c r="AB5" s="7">
        <f t="shared" si="5"/>
        <v>44196</v>
      </c>
      <c r="AC5" s="7">
        <f t="shared" si="5"/>
        <v>44286</v>
      </c>
      <c r="AD5" s="7">
        <f t="shared" si="5"/>
        <v>44377</v>
      </c>
      <c r="AE5" s="7">
        <f t="shared" si="5"/>
        <v>44469</v>
      </c>
      <c r="AF5" s="7">
        <f t="shared" si="5"/>
        <v>44561</v>
      </c>
      <c r="AG5" s="7">
        <f t="shared" si="5"/>
        <v>44651</v>
      </c>
      <c r="AH5" s="7">
        <f t="shared" si="5"/>
        <v>44742</v>
      </c>
      <c r="AI5" s="7">
        <f t="shared" si="5"/>
        <v>44834</v>
      </c>
      <c r="AJ5" s="7">
        <f t="shared" si="5"/>
        <v>44926</v>
      </c>
      <c r="AK5" s="7">
        <f t="shared" si="5"/>
        <v>45016</v>
      </c>
      <c r="AL5" s="7">
        <f t="shared" si="5"/>
        <v>45107</v>
      </c>
      <c r="AM5" s="7">
        <f t="shared" si="5"/>
        <v>45199</v>
      </c>
      <c r="AN5" s="7">
        <f t="shared" si="5"/>
        <v>45291</v>
      </c>
      <c r="AO5" s="7">
        <f t="shared" si="5"/>
        <v>45382</v>
      </c>
      <c r="AP5" s="7">
        <f t="shared" si="5"/>
        <v>45473</v>
      </c>
      <c r="AQ5" s="7">
        <f t="shared" si="5"/>
        <v>45565</v>
      </c>
      <c r="AR5" s="7">
        <f t="shared" si="5"/>
        <v>45657</v>
      </c>
      <c r="AS5" s="7">
        <f t="shared" si="5"/>
        <v>45747</v>
      </c>
      <c r="AT5" s="7">
        <f t="shared" si="5"/>
        <v>45838</v>
      </c>
      <c r="AU5" s="7">
        <f t="shared" si="5"/>
        <v>45930</v>
      </c>
      <c r="AV5" s="7">
        <f t="shared" si="5"/>
        <v>46022</v>
      </c>
      <c r="AW5" s="7">
        <f t="shared" si="5"/>
        <v>46112</v>
      </c>
      <c r="AX5" s="7">
        <f t="shared" si="5"/>
        <v>46203</v>
      </c>
      <c r="AY5" s="7">
        <f t="shared" si="5"/>
        <v>46295</v>
      </c>
      <c r="AZ5" s="7">
        <f t="shared" si="5"/>
        <v>46387</v>
      </c>
      <c r="BA5" s="7"/>
    </row>
    <row r="6" spans="1:53" hidden="1" outlineLevel="1" x14ac:dyDescent="0.2">
      <c r="A6" s="1" t="s">
        <v>0</v>
      </c>
      <c r="Q6" s="1">
        <f>+YEAR(Q5)</f>
        <v>2018</v>
      </c>
      <c r="R6" s="1">
        <f t="shared" ref="R6:AZ6" si="6">+YEAR(R5)</f>
        <v>2018</v>
      </c>
      <c r="S6" s="1">
        <f t="shared" si="6"/>
        <v>2018</v>
      </c>
      <c r="T6" s="1">
        <f t="shared" si="6"/>
        <v>2018</v>
      </c>
      <c r="U6" s="1">
        <f t="shared" si="6"/>
        <v>2019</v>
      </c>
      <c r="V6" s="1">
        <f t="shared" si="6"/>
        <v>2019</v>
      </c>
      <c r="W6" s="1">
        <f t="shared" si="6"/>
        <v>2019</v>
      </c>
      <c r="X6" s="1">
        <f t="shared" si="6"/>
        <v>2019</v>
      </c>
      <c r="Y6" s="1">
        <f t="shared" si="6"/>
        <v>2020</v>
      </c>
      <c r="Z6" s="1">
        <f t="shared" si="6"/>
        <v>2020</v>
      </c>
      <c r="AA6" s="1">
        <f t="shared" si="6"/>
        <v>2020</v>
      </c>
      <c r="AB6" s="1">
        <f t="shared" si="6"/>
        <v>2020</v>
      </c>
      <c r="AC6" s="1">
        <f t="shared" si="6"/>
        <v>2021</v>
      </c>
      <c r="AD6" s="1">
        <f t="shared" si="6"/>
        <v>2021</v>
      </c>
      <c r="AE6" s="1">
        <f t="shared" si="6"/>
        <v>2021</v>
      </c>
      <c r="AF6" s="1">
        <f t="shared" si="6"/>
        <v>2021</v>
      </c>
      <c r="AG6" s="1">
        <f t="shared" si="6"/>
        <v>2022</v>
      </c>
      <c r="AH6" s="1">
        <f t="shared" si="6"/>
        <v>2022</v>
      </c>
      <c r="AI6" s="1">
        <f t="shared" si="6"/>
        <v>2022</v>
      </c>
      <c r="AJ6" s="1">
        <f t="shared" si="6"/>
        <v>2022</v>
      </c>
      <c r="AK6" s="1">
        <f t="shared" si="6"/>
        <v>2023</v>
      </c>
      <c r="AL6" s="1">
        <f t="shared" si="6"/>
        <v>2023</v>
      </c>
      <c r="AM6" s="1">
        <f t="shared" si="6"/>
        <v>2023</v>
      </c>
      <c r="AN6" s="1">
        <f t="shared" si="6"/>
        <v>2023</v>
      </c>
      <c r="AO6" s="1">
        <f t="shared" si="6"/>
        <v>2024</v>
      </c>
      <c r="AP6" s="1">
        <f t="shared" si="6"/>
        <v>2024</v>
      </c>
      <c r="AQ6" s="1">
        <f t="shared" si="6"/>
        <v>2024</v>
      </c>
      <c r="AR6" s="1">
        <f t="shared" si="6"/>
        <v>2024</v>
      </c>
      <c r="AS6" s="1">
        <f t="shared" si="6"/>
        <v>2025</v>
      </c>
      <c r="AT6" s="1">
        <f t="shared" si="6"/>
        <v>2025</v>
      </c>
      <c r="AU6" s="1">
        <f t="shared" si="6"/>
        <v>2025</v>
      </c>
      <c r="AV6" s="1">
        <f t="shared" si="6"/>
        <v>2025</v>
      </c>
      <c r="AW6" s="1">
        <f t="shared" si="6"/>
        <v>2026</v>
      </c>
      <c r="AX6" s="1">
        <f t="shared" si="6"/>
        <v>2026</v>
      </c>
      <c r="AY6" s="1">
        <f t="shared" si="6"/>
        <v>2026</v>
      </c>
      <c r="AZ6" s="1">
        <f t="shared" si="6"/>
        <v>2026</v>
      </c>
    </row>
    <row r="7" spans="1:53" s="3" customFormat="1" collapsed="1" x14ac:dyDescent="0.2">
      <c r="A7" s="17" t="s">
        <v>75</v>
      </c>
      <c r="B7" s="3" t="s">
        <v>560</v>
      </c>
    </row>
    <row r="8" spans="1:53" x14ac:dyDescent="0.2">
      <c r="B8" s="1" t="s">
        <v>556</v>
      </c>
      <c r="C8" s="8" t="s">
        <v>187</v>
      </c>
      <c r="U8" s="12">
        <v>-33.658000000000001</v>
      </c>
      <c r="V8" s="12">
        <v>-38.951000000000001</v>
      </c>
      <c r="W8" s="12">
        <v>-40.545000000000002</v>
      </c>
      <c r="X8" s="12">
        <v>-41.81</v>
      </c>
      <c r="Y8" s="12">
        <v>-43.484999999999999</v>
      </c>
      <c r="Z8" s="12">
        <v>-57.210999999999999</v>
      </c>
      <c r="AA8" s="12">
        <v>-72.629000000000005</v>
      </c>
      <c r="AB8" s="12">
        <v>-60.363</v>
      </c>
    </row>
    <row r="9" spans="1:53" x14ac:dyDescent="0.2">
      <c r="B9" s="1" t="s">
        <v>47</v>
      </c>
      <c r="C9" s="8" t="s">
        <v>187</v>
      </c>
      <c r="U9" s="12">
        <v>-43.362000000000002</v>
      </c>
      <c r="V9" s="12">
        <v>-46.497</v>
      </c>
      <c r="W9" s="12">
        <v>-40.677999999999997</v>
      </c>
      <c r="X9" s="12">
        <v>-53.975999999999999</v>
      </c>
      <c r="Y9" s="12">
        <v>-49.646999999999998</v>
      </c>
      <c r="Z9" s="12">
        <v>-54.561999999999998</v>
      </c>
      <c r="AA9" s="12">
        <v>-54.905000000000001</v>
      </c>
      <c r="AB9" s="12">
        <v>-64.641000000000005</v>
      </c>
    </row>
    <row r="10" spans="1:53" x14ac:dyDescent="0.2">
      <c r="B10" s="1" t="s">
        <v>557</v>
      </c>
      <c r="C10" s="8" t="s">
        <v>187</v>
      </c>
      <c r="U10" s="12">
        <v>-24.736999999999998</v>
      </c>
      <c r="V10" s="12">
        <v>-26.436</v>
      </c>
      <c r="W10" s="12">
        <v>-31.079000000000001</v>
      </c>
      <c r="X10" s="12">
        <v>-30.18</v>
      </c>
      <c r="Y10" s="12">
        <v>-33.820999999999998</v>
      </c>
      <c r="Z10" s="12">
        <v>-34.637</v>
      </c>
      <c r="AA10" s="12">
        <v>-34.65</v>
      </c>
      <c r="AB10" s="12">
        <v>-20.151</v>
      </c>
    </row>
    <row r="11" spans="1:53" x14ac:dyDescent="0.2">
      <c r="B11" s="1" t="s">
        <v>558</v>
      </c>
      <c r="C11" s="8" t="s">
        <v>187</v>
      </c>
      <c r="U11" s="12">
        <v>-0.43099999999999999</v>
      </c>
      <c r="V11" s="12">
        <v>-0.39500000000000002</v>
      </c>
      <c r="W11" s="12">
        <v>-36.741</v>
      </c>
      <c r="X11" s="12">
        <v>0.09</v>
      </c>
      <c r="Y11" s="12">
        <v>-64.853999999999999</v>
      </c>
      <c r="Z11" s="12">
        <v>-117.53700000000001</v>
      </c>
      <c r="AA11" s="12">
        <v>-131.74</v>
      </c>
      <c r="AB11" s="12">
        <v>-38.441000000000003</v>
      </c>
    </row>
    <row r="12" spans="1:53" x14ac:dyDescent="0.2">
      <c r="B12" s="1" t="s">
        <v>451</v>
      </c>
      <c r="C12" s="8" t="s">
        <v>187</v>
      </c>
      <c r="U12" s="12">
        <v>-52.210999999999999</v>
      </c>
      <c r="V12" s="12">
        <v>-66.522000000000006</v>
      </c>
      <c r="W12" s="12">
        <v>-61.701000000000001</v>
      </c>
      <c r="X12" s="12">
        <v>-43.164000000000001</v>
      </c>
      <c r="Y12" s="12">
        <v>-74.691999999999993</v>
      </c>
      <c r="Z12" s="12">
        <v>-95.478999999999999</v>
      </c>
      <c r="AA12" s="12">
        <v>-94.759</v>
      </c>
      <c r="AB12" s="12">
        <v>-89.745999999999995</v>
      </c>
    </row>
    <row r="13" spans="1:53" s="2" customFormat="1" x14ac:dyDescent="0.2">
      <c r="B13" s="18" t="s">
        <v>222</v>
      </c>
      <c r="C13" s="8" t="s">
        <v>187</v>
      </c>
      <c r="U13" s="24">
        <f>+SUM(U8:U12)</f>
        <v>-154.399</v>
      </c>
      <c r="V13" s="24">
        <f t="shared" ref="V13:AB13" si="7">+SUM(V8:V12)</f>
        <v>-178.80100000000002</v>
      </c>
      <c r="W13" s="24">
        <f t="shared" si="7"/>
        <v>-210.744</v>
      </c>
      <c r="X13" s="24">
        <f t="shared" si="7"/>
        <v>-169.04000000000002</v>
      </c>
      <c r="Y13" s="24">
        <f t="shared" si="7"/>
        <v>-266.49900000000002</v>
      </c>
      <c r="Z13" s="24">
        <f t="shared" si="7"/>
        <v>-359.42599999999999</v>
      </c>
      <c r="AA13" s="24">
        <f t="shared" si="7"/>
        <v>-388.68299999999999</v>
      </c>
      <c r="AB13" s="24">
        <f t="shared" si="7"/>
        <v>-273.34199999999998</v>
      </c>
    </row>
    <row r="15" spans="1:53" s="25" customFormat="1" x14ac:dyDescent="0.2">
      <c r="B15" s="25" t="s">
        <v>566</v>
      </c>
      <c r="C15" s="88" t="s">
        <v>177</v>
      </c>
      <c r="U15" s="275">
        <f>+(0.666666666666667)</f>
        <v>0.66666666666666696</v>
      </c>
      <c r="V15" s="275">
        <f t="shared" ref="V15:AB15" si="8">+(0.666666666666667)</f>
        <v>0.66666666666666696</v>
      </c>
      <c r="W15" s="275">
        <f t="shared" si="8"/>
        <v>0.66666666666666696</v>
      </c>
      <c r="X15" s="275">
        <f t="shared" si="8"/>
        <v>0.66666666666666696</v>
      </c>
      <c r="Y15" s="275">
        <f t="shared" si="8"/>
        <v>0.66666666666666696</v>
      </c>
      <c r="Z15" s="275">
        <f t="shared" si="8"/>
        <v>0.66666666666666696</v>
      </c>
      <c r="AA15" s="275">
        <f t="shared" si="8"/>
        <v>0.66666666666666696</v>
      </c>
      <c r="AB15" s="275">
        <f t="shared" si="8"/>
        <v>0.66666666666666696</v>
      </c>
    </row>
    <row r="16" spans="1:53" s="25" customFormat="1" x14ac:dyDescent="0.2">
      <c r="B16" s="25" t="s">
        <v>565</v>
      </c>
      <c r="C16" s="88" t="s">
        <v>177</v>
      </c>
      <c r="U16" s="70">
        <f>+(U8+U12*U15)/(U12+U10+U8)</f>
        <v>0.61900198301478537</v>
      </c>
      <c r="V16" s="70">
        <f t="shared" ref="V16:AB16" si="9">+(V8+V12*V15)/(V12+V10+V8)</f>
        <v>0.63148837456125073</v>
      </c>
      <c r="W16" s="70">
        <f t="shared" si="9"/>
        <v>0.61263078942433935</v>
      </c>
      <c r="X16" s="70">
        <f t="shared" si="9"/>
        <v>0.61297045695329744</v>
      </c>
      <c r="Y16" s="70">
        <f t="shared" si="9"/>
        <v>0.61369009241349681</v>
      </c>
      <c r="Z16" s="70">
        <f t="shared" si="9"/>
        <v>0.6452015281655431</v>
      </c>
      <c r="AA16" s="70">
        <f t="shared" si="9"/>
        <v>0.67215903278921141</v>
      </c>
      <c r="AB16" s="70">
        <f t="shared" si="9"/>
        <v>0.70594189279141717</v>
      </c>
    </row>
    <row r="18" spans="1:52" s="3" customFormat="1" collapsed="1" x14ac:dyDescent="0.2">
      <c r="A18" s="17" t="s">
        <v>75</v>
      </c>
      <c r="B18" s="3" t="s">
        <v>561</v>
      </c>
    </row>
    <row r="19" spans="1:52" x14ac:dyDescent="0.2">
      <c r="B19" s="1" t="s">
        <v>557</v>
      </c>
      <c r="C19" s="8" t="s">
        <v>187</v>
      </c>
      <c r="U19" s="23">
        <f>-U10</f>
        <v>24.736999999999998</v>
      </c>
      <c r="V19" s="23">
        <f t="shared" ref="V19:AB19" si="10">-V10</f>
        <v>26.436</v>
      </c>
      <c r="W19" s="23">
        <f t="shared" si="10"/>
        <v>31.079000000000001</v>
      </c>
      <c r="X19" s="23">
        <f t="shared" si="10"/>
        <v>30.18</v>
      </c>
      <c r="Y19" s="23">
        <f t="shared" si="10"/>
        <v>33.820999999999998</v>
      </c>
      <c r="Z19" s="23">
        <f t="shared" si="10"/>
        <v>34.637</v>
      </c>
      <c r="AA19" s="23">
        <f t="shared" si="10"/>
        <v>34.65</v>
      </c>
      <c r="AB19" s="23">
        <f t="shared" si="10"/>
        <v>20.151</v>
      </c>
    </row>
    <row r="20" spans="1:52" x14ac:dyDescent="0.2">
      <c r="B20" s="1" t="s">
        <v>557</v>
      </c>
      <c r="C20" s="8" t="s">
        <v>562</v>
      </c>
      <c r="U20" s="23">
        <f ca="1">+U19/U23</f>
        <v>2.1769278529035989</v>
      </c>
      <c r="V20" s="23">
        <f t="shared" ref="V20:AB20" ca="1" si="11">+V19/V23</f>
        <v>2.1581068644364918</v>
      </c>
      <c r="W20" s="23">
        <f t="shared" ca="1" si="11"/>
        <v>2.5890038107283471</v>
      </c>
      <c r="X20" s="23">
        <f t="shared" ca="1" si="11"/>
        <v>2.3969007391422181</v>
      </c>
      <c r="Y20" s="23">
        <f t="shared" ca="1" si="11"/>
        <v>2.6114567034827418</v>
      </c>
      <c r="Z20" s="23">
        <f t="shared" ca="1" si="11"/>
        <v>2.6455553608451132</v>
      </c>
      <c r="AA20" s="23">
        <f t="shared" ca="1" si="11"/>
        <v>2.655071263898686</v>
      </c>
      <c r="AB20" s="23">
        <f t="shared" ca="1" si="11"/>
        <v>1.5130033510817473</v>
      </c>
    </row>
    <row r="21" spans="1:52" x14ac:dyDescent="0.2">
      <c r="C21" s="8"/>
      <c r="U21" s="23"/>
      <c r="V21" s="23"/>
      <c r="W21" s="23"/>
      <c r="X21" s="23"/>
      <c r="Y21" s="23"/>
      <c r="Z21" s="23"/>
      <c r="AA21" s="23"/>
      <c r="AB21" s="23"/>
    </row>
    <row r="22" spans="1:52" x14ac:dyDescent="0.2">
      <c r="B22" s="1" t="s">
        <v>540</v>
      </c>
      <c r="C22" s="45" t="s">
        <v>541</v>
      </c>
      <c r="U22" s="167">
        <v>3.0176666666666669</v>
      </c>
      <c r="V22" s="167">
        <v>3.1236666666666668</v>
      </c>
      <c r="W22" s="167">
        <v>3.0219999999999998</v>
      </c>
      <c r="X22" s="167">
        <v>3.0589999999999997</v>
      </c>
      <c r="Y22" s="167">
        <v>2.8956666666666671</v>
      </c>
      <c r="Z22" s="167">
        <v>2.4309999999999996</v>
      </c>
      <c r="AA22" s="167">
        <v>2.4256666666666664</v>
      </c>
      <c r="AB22" s="167">
        <v>2.4686666666666666</v>
      </c>
      <c r="AC22" s="167">
        <v>2.8933333333333331</v>
      </c>
      <c r="AD22" s="169">
        <f t="shared" ref="AD22:AZ22" ca="1" si="12">+AC22*(1+inflation/4)</f>
        <v>2.9222666666666663</v>
      </c>
      <c r="AE22" s="169">
        <f t="shared" ca="1" si="12"/>
        <v>2.951489333333333</v>
      </c>
      <c r="AF22" s="169">
        <f t="shared" ca="1" si="12"/>
        <v>2.9810042266666663</v>
      </c>
      <c r="AG22" s="169">
        <f t="shared" ca="1" si="12"/>
        <v>3.0108142689333328</v>
      </c>
      <c r="AH22" s="169">
        <f t="shared" ca="1" si="12"/>
        <v>3.0409224116226663</v>
      </c>
      <c r="AI22" s="169">
        <f t="shared" ca="1" si="12"/>
        <v>3.0713316357388929</v>
      </c>
      <c r="AJ22" s="169">
        <f t="shared" ca="1" si="12"/>
        <v>3.1020449520962821</v>
      </c>
      <c r="AK22" s="169">
        <f t="shared" ca="1" si="12"/>
        <v>3.133065401617245</v>
      </c>
      <c r="AL22" s="169">
        <f t="shared" ca="1" si="12"/>
        <v>3.1643960556334174</v>
      </c>
      <c r="AM22" s="169">
        <f t="shared" ca="1" si="12"/>
        <v>3.1960400161897518</v>
      </c>
      <c r="AN22" s="169">
        <f t="shared" ca="1" si="12"/>
        <v>3.2280004163516494</v>
      </c>
      <c r="AO22" s="169">
        <f t="shared" ca="1" si="12"/>
        <v>3.2602804205151661</v>
      </c>
      <c r="AP22" s="169">
        <f t="shared" ca="1" si="12"/>
        <v>3.2928832247203177</v>
      </c>
      <c r="AQ22" s="169">
        <f t="shared" ca="1" si="12"/>
        <v>3.3258120569675209</v>
      </c>
      <c r="AR22" s="169">
        <f t="shared" ca="1" si="12"/>
        <v>3.3590701775371961</v>
      </c>
      <c r="AS22" s="169">
        <f t="shared" ca="1" si="12"/>
        <v>3.3926608793125679</v>
      </c>
      <c r="AT22" s="169">
        <f t="shared" ca="1" si="12"/>
        <v>3.4265874881056937</v>
      </c>
      <c r="AU22" s="169">
        <f t="shared" ca="1" si="12"/>
        <v>3.4608533629867506</v>
      </c>
      <c r="AV22" s="169">
        <f t="shared" ca="1" si="12"/>
        <v>3.495461896616618</v>
      </c>
      <c r="AW22" s="169">
        <f t="shared" ca="1" si="12"/>
        <v>3.5304165155827842</v>
      </c>
      <c r="AX22" s="169">
        <f t="shared" ca="1" si="12"/>
        <v>3.5657206807386119</v>
      </c>
      <c r="AY22" s="169">
        <f t="shared" ca="1" si="12"/>
        <v>3.6013778875459979</v>
      </c>
      <c r="AZ22" s="169">
        <f t="shared" ca="1" si="12"/>
        <v>3.6373916664214581</v>
      </c>
    </row>
    <row r="23" spans="1:52" x14ac:dyDescent="0.2">
      <c r="B23" s="1" t="s">
        <v>540</v>
      </c>
      <c r="C23" s="45" t="s">
        <v>542</v>
      </c>
      <c r="U23" s="92">
        <f ca="1">+U22*SUMIFS(FX!11:11,FX!3:3,Cost!U$3)</f>
        <v>11.363261289071039</v>
      </c>
      <c r="V23" s="92">
        <f ca="1">+V22*SUMIFS(FX!11:11,FX!3:3,Cost!V$3)</f>
        <v>12.249625093010749</v>
      </c>
      <c r="W23" s="92">
        <f ca="1">+W22*SUMIFS(FX!11:11,FX!3:3,Cost!W$3)</f>
        <v>12.004231075757572</v>
      </c>
      <c r="X23" s="92">
        <f ca="1">+X22*SUMIFS(FX!11:11,FX!3:3,Cost!X$3)</f>
        <v>12.591259832812499</v>
      </c>
      <c r="Y23" s="92">
        <f ca="1">+Y22*SUMIFS(FX!11:11,FX!3:3,Cost!Y$3)</f>
        <v>12.951009279569895</v>
      </c>
      <c r="Z23" s="92">
        <f ca="1">+Z22*SUMIFS(FX!11:11,FX!3:3,Cost!Z$3)</f>
        <v>13.092525113114752</v>
      </c>
      <c r="AA23" s="92">
        <f ca="1">+AA22*SUMIFS(FX!11:11,FX!3:3,Cost!AA$3)</f>
        <v>13.050497164102559</v>
      </c>
      <c r="AB23" s="92">
        <f ca="1">+AB22*SUMIFS(FX!11:11,FX!3:3,Cost!AB$3)</f>
        <v>13.318542874074074</v>
      </c>
      <c r="AC23" s="92">
        <f ca="1">+AC22*SUMIFS(FX!11:11,FX!3:3,Cost!AC$3)</f>
        <v>15.595409298245615</v>
      </c>
      <c r="AD23" s="92">
        <f ca="1">+AD22*SUMIFS(FX!11:11,FX!3:3,Cost!AD$3)</f>
        <v>16.493287605306797</v>
      </c>
      <c r="AE23" s="92">
        <f ca="1">+AE22*SUMIFS(FX!11:11,FX!3:3,Cost!AE$3)</f>
        <v>16.741097200172604</v>
      </c>
      <c r="AF23" s="92">
        <f ca="1">+AF22*SUMIFS(FX!11:11,FX!3:3,Cost!AF$3)</f>
        <v>16.992630103379177</v>
      </c>
      <c r="AG23" s="92">
        <f ca="1">+AG22*SUMIFS(FX!11:11,FX!3:3,Cost!AG$3)</f>
        <v>17.247942257171246</v>
      </c>
      <c r="AH23" s="92">
        <f ca="1">+AH22*SUMIFS(FX!11:11,FX!3:3,Cost!AH$3)</f>
        <v>17.507090444318798</v>
      </c>
      <c r="AI23" s="92">
        <f ca="1">+AI22*SUMIFS(FX!11:11,FX!3:3,Cost!AI$3)</f>
        <v>17.770132300745878</v>
      </c>
      <c r="AJ23" s="92">
        <f ca="1">+AJ22*SUMIFS(FX!11:11,FX!3:3,Cost!AJ$3)</f>
        <v>18.037126328349132</v>
      </c>
      <c r="AK23" s="92">
        <f ca="1">+AK22*SUMIFS(FX!11:11,FX!3:3,Cost!AK$3)</f>
        <v>18.308131908008903</v>
      </c>
      <c r="AL23" s="92">
        <f ca="1">+AL22*SUMIFS(FX!11:11,FX!3:3,Cost!AL$3)</f>
        <v>18.583209312795908</v>
      </c>
      <c r="AM23" s="92">
        <f ca="1">+AM22*SUMIFS(FX!11:11,FX!3:3,Cost!AM$3)</f>
        <v>18.862419721376224</v>
      </c>
      <c r="AN23" s="92">
        <f ca="1">+AN22*SUMIFS(FX!11:11,FX!3:3,Cost!AN$3)</f>
        <v>19.145825231617799</v>
      </c>
      <c r="AO23" s="92">
        <f ca="1">+AO22*SUMIFS(FX!11:11,FX!3:3,Cost!AO$3)</f>
        <v>19.433488874401313</v>
      </c>
      <c r="AP23" s="92">
        <f ca="1">+AP22*SUMIFS(FX!11:11,FX!3:3,Cost!AP$3)</f>
        <v>19.72547462763859</v>
      </c>
      <c r="AQ23" s="92">
        <f ca="1">+AQ22*SUMIFS(FX!11:11,FX!3:3,Cost!AQ$3)</f>
        <v>20.021847430501619</v>
      </c>
      <c r="AR23" s="92">
        <f ca="1">+AR22*SUMIFS(FX!11:11,FX!3:3,Cost!AR$3)</f>
        <v>20.322673197865377</v>
      </c>
      <c r="AS23" s="92">
        <f ca="1">+AS22*SUMIFS(FX!11:11,FX!3:3,Cost!AS$3)</f>
        <v>20.628018834967634</v>
      </c>
      <c r="AT23" s="92">
        <f ca="1">+AT22*SUMIFS(FX!11:11,FX!3:3,Cost!AT$3)</f>
        <v>20.937952252289044</v>
      </c>
      <c r="AU23" s="92">
        <f ca="1">+AU22*SUMIFS(FX!11:11,FX!3:3,Cost!AU$3)</f>
        <v>21.25254238065677</v>
      </c>
      <c r="AV23" s="92">
        <f ca="1">+AV22*SUMIFS(FX!11:11,FX!3:3,Cost!AV$3)</f>
        <v>21.571859186575097</v>
      </c>
      <c r="AW23" s="92">
        <f ca="1">+AW22*SUMIFS(FX!11:11,FX!3:3,Cost!AW$3)</f>
        <v>21.895973687786331</v>
      </c>
      <c r="AX23" s="92">
        <f ca="1">+AX22*SUMIFS(FX!11:11,FX!3:3,Cost!AX$3)</f>
        <v>22.22495796906551</v>
      </c>
      <c r="AY23" s="92">
        <f ca="1">+AY22*SUMIFS(FX!11:11,FX!3:3,Cost!AY$3)</f>
        <v>22.558885198252465</v>
      </c>
      <c r="AZ23" s="92">
        <f ca="1">+AZ22*SUMIFS(FX!11:11,FX!3:3,Cost!AZ$3)</f>
        <v>22.897829642524723</v>
      </c>
    </row>
    <row r="25" spans="1:52" x14ac:dyDescent="0.2">
      <c r="B25" s="1" t="s">
        <v>5</v>
      </c>
      <c r="C25" s="8" t="s">
        <v>201</v>
      </c>
      <c r="U25" s="46">
        <f ca="1">+SUMIFS(Segments!$27:$27,Segments!$3:$3,U$3)</f>
        <v>2239.1546070000004</v>
      </c>
      <c r="V25" s="46">
        <f ca="1">+SUMIFS(Segments!$27:$27,Segments!$3:$3,V$3)</f>
        <v>2583.5016109999997</v>
      </c>
      <c r="W25" s="46">
        <f ca="1">+SUMIFS(Segments!$27:$27,Segments!$3:$3,W$3)</f>
        <v>3243.051007</v>
      </c>
      <c r="X25" s="46">
        <f ca="1">+SUMIFS(Segments!$27:$27,Segments!$3:$3,X$3)</f>
        <v>2124.7009303999998</v>
      </c>
      <c r="Y25" s="46">
        <f ca="1">+SUMIFS(Segments!$27:$27,Segments!$3:$3,Y$3)</f>
        <v>2910.2775070816328</v>
      </c>
      <c r="Z25" s="46">
        <f ca="1">+SUMIFS(Segments!$27:$27,Segments!$3:$3,Z$3)</f>
        <v>3686.3905589999999</v>
      </c>
      <c r="AA25" s="46">
        <f ca="1">+SUMIFS(Segments!$27:$27,Segments!$3:$3,AA$3)</f>
        <v>3811.7689829999999</v>
      </c>
      <c r="AB25" s="46">
        <f ca="1">+SUMIFS(Segments!$27:$27,Segments!$3:$3,AB$3)</f>
        <v>1798.551017</v>
      </c>
    </row>
    <row r="27" spans="1:52" x14ac:dyDescent="0.2">
      <c r="B27" s="1" t="s">
        <v>563</v>
      </c>
      <c r="C27" s="8" t="s">
        <v>564</v>
      </c>
      <c r="U27" s="198">
        <f ca="1">+U25/1000/U20</f>
        <v>1.0285846653178714</v>
      </c>
      <c r="V27" s="198">
        <f t="shared" ref="V27:AB27" ca="1" si="13">+V25/1000/V20</f>
        <v>1.1971147738666701</v>
      </c>
      <c r="W27" s="198">
        <f t="shared" ca="1" si="13"/>
        <v>1.2526250419413845</v>
      </c>
      <c r="X27" s="198">
        <f t="shared" ca="1" si="13"/>
        <v>0.88643676214992917</v>
      </c>
      <c r="Y27" s="198">
        <f t="shared" ca="1" si="13"/>
        <v>1.1144268649755409</v>
      </c>
      <c r="Z27" s="198">
        <f t="shared" ca="1" si="13"/>
        <v>1.3934278653017473</v>
      </c>
      <c r="AA27" s="198">
        <f t="shared" ca="1" si="13"/>
        <v>1.4356559971964098</v>
      </c>
      <c r="AB27" s="198">
        <f t="shared" ca="1" si="13"/>
        <v>1.1887290373244022</v>
      </c>
      <c r="AC27" s="279">
        <f ca="1">+AVERAGE(Y27,U27)</f>
        <v>1.0715057651467061</v>
      </c>
      <c r="AD27" s="198">
        <f t="shared" ref="AD27:AF27" ca="1" si="14">+AVERAGE(Z27,V27)</f>
        <v>1.2952713195842087</v>
      </c>
      <c r="AE27" s="198">
        <f t="shared" ca="1" si="14"/>
        <v>1.3441405195688971</v>
      </c>
      <c r="AF27" s="198">
        <f t="shared" ca="1" si="14"/>
        <v>1.0375828997371657</v>
      </c>
      <c r="AG27" s="279">
        <f ca="1">+AC27</f>
        <v>1.0715057651467061</v>
      </c>
      <c r="AH27" s="198">
        <f ca="1">+AD27</f>
        <v>1.2952713195842087</v>
      </c>
      <c r="AI27" s="198">
        <f t="shared" ref="AI27:AZ27" ca="1" si="15">+AE27</f>
        <v>1.3441405195688971</v>
      </c>
      <c r="AJ27" s="198">
        <f t="shared" ca="1" si="15"/>
        <v>1.0375828997371657</v>
      </c>
      <c r="AK27" s="198">
        <f t="shared" ca="1" si="15"/>
        <v>1.0715057651467061</v>
      </c>
      <c r="AL27" s="198">
        <f t="shared" ca="1" si="15"/>
        <v>1.2952713195842087</v>
      </c>
      <c r="AM27" s="198">
        <f t="shared" ca="1" si="15"/>
        <v>1.3441405195688971</v>
      </c>
      <c r="AN27" s="198">
        <f t="shared" ca="1" si="15"/>
        <v>1.0375828997371657</v>
      </c>
      <c r="AO27" s="198">
        <f t="shared" ca="1" si="15"/>
        <v>1.0715057651467061</v>
      </c>
      <c r="AP27" s="198">
        <f t="shared" ca="1" si="15"/>
        <v>1.2952713195842087</v>
      </c>
      <c r="AQ27" s="198">
        <f t="shared" ca="1" si="15"/>
        <v>1.3441405195688971</v>
      </c>
      <c r="AR27" s="198">
        <f t="shared" ca="1" si="15"/>
        <v>1.0375828997371657</v>
      </c>
      <c r="AS27" s="198">
        <f t="shared" ca="1" si="15"/>
        <v>1.0715057651467061</v>
      </c>
      <c r="AT27" s="198">
        <f t="shared" ca="1" si="15"/>
        <v>1.2952713195842087</v>
      </c>
      <c r="AU27" s="198">
        <f t="shared" ca="1" si="15"/>
        <v>1.3441405195688971</v>
      </c>
      <c r="AV27" s="198">
        <f t="shared" ca="1" si="15"/>
        <v>1.0375828997371657</v>
      </c>
      <c r="AW27" s="198">
        <f t="shared" ca="1" si="15"/>
        <v>1.0715057651467061</v>
      </c>
      <c r="AX27" s="198">
        <f t="shared" ca="1" si="15"/>
        <v>1.2952713195842087</v>
      </c>
      <c r="AY27" s="198">
        <f t="shared" ca="1" si="15"/>
        <v>1.3441405195688971</v>
      </c>
      <c r="AZ27" s="198">
        <f t="shared" ca="1" si="15"/>
        <v>1.0375828997371657</v>
      </c>
    </row>
  </sheetData>
  <conditionalFormatting sqref="C1">
    <cfRule type="cellIs" dxfId="1" priority="2" operator="equal">
      <formula>"OK"</formula>
    </cfRule>
  </conditionalFormatting>
  <conditionalFormatting sqref="C1">
    <cfRule type="cellIs" dxfId="0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F121-4640-4C89-BBBE-CABD384C06C1}">
  <sheetPr>
    <tabColor theme="0"/>
  </sheetPr>
  <dimension ref="A1:BD92"/>
  <sheetViews>
    <sheetView zoomScale="85" zoomScaleNormal="85" workbookViewId="0">
      <pane xSplit="5" ySplit="3" topLeftCell="F7" activePane="bottomRight" state="frozen"/>
      <selection activeCell="F32" sqref="F32:G32"/>
      <selection pane="topRight" activeCell="F32" sqref="F32:G32"/>
      <selection pane="bottomLeft" activeCell="F32" sqref="F32:G32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23.140625" style="1" customWidth="1"/>
    <col min="3" max="3" width="2.140625" style="1" customWidth="1"/>
    <col min="4" max="4" width="9.140625" style="1" customWidth="1"/>
    <col min="5" max="5" width="2.140625" style="1" customWidth="1"/>
    <col min="6" max="8" width="9.140625" style="1" hidden="1" customWidth="1" outlineLevel="1"/>
    <col min="9" max="9" width="9.140625" style="1" collapsed="1"/>
    <col min="10" max="15" width="9.140625" style="1"/>
    <col min="16" max="16" width="2.7109375" style="1" customWidth="1"/>
    <col min="17" max="17" width="9.140625" style="1"/>
    <col min="18" max="18" width="2.7109375" style="1" customWidth="1"/>
    <col min="19" max="22" width="9.140625" style="1" hidden="1" customWidth="1" outlineLevel="1"/>
    <col min="23" max="54" width="0" style="1" hidden="1" customWidth="1" outlineLevel="1"/>
    <col min="55" max="55" width="3.42578125" style="1" hidden="1" customWidth="1" outlineLevel="1"/>
    <col min="56" max="56" width="9.140625" style="1" collapsed="1"/>
    <col min="57" max="16384" width="9.140625" style="1"/>
  </cols>
  <sheetData>
    <row r="1" spans="1:55" s="4" customFormat="1" ht="16.5" x14ac:dyDescent="0.3">
      <c r="A1" s="213" t="str">
        <f ca="1">Ctrl!$G$7</f>
        <v>Base</v>
      </c>
      <c r="D1" s="8" t="str">
        <f ca="1">+IF(Financials!$C$164=0,"OK","CHECK")</f>
        <v>OK</v>
      </c>
      <c r="G1" s="5"/>
      <c r="H1" s="5"/>
      <c r="I1" s="212">
        <f ca="1">+Ctrl!$G$9</f>
        <v>7.9261321941756702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</row>
    <row r="2" spans="1:55" s="5" customFormat="1" ht="16.5" x14ac:dyDescent="0.3">
      <c r="A2" s="6" t="s">
        <v>313</v>
      </c>
      <c r="I2" s="211">
        <f ca="1">+Ctrl!G10</f>
        <v>0.32102203236261162</v>
      </c>
      <c r="AD2" s="4"/>
      <c r="AE2" s="4"/>
      <c r="AF2" s="4"/>
      <c r="AG2" s="4"/>
      <c r="AH2" s="4"/>
      <c r="AI2" s="4"/>
      <c r="AJ2" s="4"/>
      <c r="AK2" s="4"/>
      <c r="AL2" s="4"/>
    </row>
    <row r="3" spans="1:55" s="2" customFormat="1" x14ac:dyDescent="0.2">
      <c r="B3" s="2" t="s">
        <v>1</v>
      </c>
      <c r="D3" s="83" t="s">
        <v>460</v>
      </c>
      <c r="F3" s="252">
        <v>2017</v>
      </c>
      <c r="G3" s="83">
        <f>+F3+1</f>
        <v>2018</v>
      </c>
      <c r="H3" s="253">
        <f>+G3+1</f>
        <v>2019</v>
      </c>
      <c r="I3" s="253">
        <f t="shared" ref="I3:O3" si="0">+H3+1</f>
        <v>2020</v>
      </c>
      <c r="J3" s="254">
        <f t="shared" si="0"/>
        <v>2021</v>
      </c>
      <c r="K3" s="254">
        <f t="shared" si="0"/>
        <v>2022</v>
      </c>
      <c r="L3" s="254">
        <f t="shared" si="0"/>
        <v>2023</v>
      </c>
      <c r="M3" s="254">
        <f t="shared" si="0"/>
        <v>2024</v>
      </c>
      <c r="N3" s="254">
        <f t="shared" si="0"/>
        <v>2025</v>
      </c>
      <c r="O3" s="254">
        <f t="shared" si="0"/>
        <v>2026</v>
      </c>
      <c r="P3" s="83"/>
      <c r="Q3" s="81" t="s">
        <v>217</v>
      </c>
      <c r="S3" s="83" t="str">
        <f t="shared" ref="S3:BB3" si="1">+MONTH(S5)/3&amp;"Q"&amp;RIGHT(YEAR(S5),2)</f>
        <v>1Q18</v>
      </c>
      <c r="T3" s="83" t="str">
        <f t="shared" si="1"/>
        <v>2Q18</v>
      </c>
      <c r="U3" s="83" t="str">
        <f t="shared" si="1"/>
        <v>3Q18</v>
      </c>
      <c r="V3" s="83" t="str">
        <f t="shared" si="1"/>
        <v>4Q18</v>
      </c>
      <c r="W3" s="83" t="str">
        <f t="shared" si="1"/>
        <v>1Q19</v>
      </c>
      <c r="X3" s="83" t="str">
        <f t="shared" si="1"/>
        <v>2Q19</v>
      </c>
      <c r="Y3" s="83" t="str">
        <f t="shared" si="1"/>
        <v>3Q19</v>
      </c>
      <c r="Z3" s="83" t="str">
        <f t="shared" si="1"/>
        <v>4Q19</v>
      </c>
      <c r="AA3" s="83" t="str">
        <f t="shared" si="1"/>
        <v>1Q20</v>
      </c>
      <c r="AB3" s="83" t="str">
        <f t="shared" si="1"/>
        <v>2Q20</v>
      </c>
      <c r="AC3" s="83" t="str">
        <f t="shared" si="1"/>
        <v>3Q20</v>
      </c>
      <c r="AD3" s="83" t="str">
        <f t="shared" si="1"/>
        <v>4Q20</v>
      </c>
      <c r="AE3" s="83" t="str">
        <f t="shared" si="1"/>
        <v>1Q21</v>
      </c>
      <c r="AF3" s="83" t="str">
        <f t="shared" si="1"/>
        <v>2Q21</v>
      </c>
      <c r="AG3" s="83" t="str">
        <f t="shared" si="1"/>
        <v>3Q21</v>
      </c>
      <c r="AH3" s="83" t="str">
        <f t="shared" si="1"/>
        <v>4Q21</v>
      </c>
      <c r="AI3" s="83" t="str">
        <f t="shared" si="1"/>
        <v>1Q22</v>
      </c>
      <c r="AJ3" s="83" t="str">
        <f t="shared" si="1"/>
        <v>2Q22</v>
      </c>
      <c r="AK3" s="83" t="str">
        <f t="shared" si="1"/>
        <v>3Q22</v>
      </c>
      <c r="AL3" s="83" t="str">
        <f t="shared" si="1"/>
        <v>4Q22</v>
      </c>
      <c r="AM3" s="83" t="str">
        <f t="shared" si="1"/>
        <v>1Q23</v>
      </c>
      <c r="AN3" s="83" t="str">
        <f t="shared" si="1"/>
        <v>2Q23</v>
      </c>
      <c r="AO3" s="83" t="str">
        <f t="shared" si="1"/>
        <v>3Q23</v>
      </c>
      <c r="AP3" s="83" t="str">
        <f t="shared" si="1"/>
        <v>4Q23</v>
      </c>
      <c r="AQ3" s="83" t="str">
        <f t="shared" si="1"/>
        <v>1Q24</v>
      </c>
      <c r="AR3" s="83" t="str">
        <f t="shared" si="1"/>
        <v>2Q24</v>
      </c>
      <c r="AS3" s="83" t="str">
        <f t="shared" si="1"/>
        <v>3Q24</v>
      </c>
      <c r="AT3" s="83" t="str">
        <f t="shared" si="1"/>
        <v>4Q24</v>
      </c>
      <c r="AU3" s="83" t="str">
        <f t="shared" si="1"/>
        <v>1Q25</v>
      </c>
      <c r="AV3" s="83" t="str">
        <f t="shared" si="1"/>
        <v>2Q25</v>
      </c>
      <c r="AW3" s="83" t="str">
        <f t="shared" si="1"/>
        <v>3Q25</v>
      </c>
      <c r="AX3" s="83" t="str">
        <f t="shared" si="1"/>
        <v>4Q25</v>
      </c>
      <c r="AY3" s="83" t="str">
        <f t="shared" si="1"/>
        <v>1Q26</v>
      </c>
      <c r="AZ3" s="83" t="str">
        <f t="shared" si="1"/>
        <v>2Q26</v>
      </c>
      <c r="BA3" s="83" t="str">
        <f t="shared" si="1"/>
        <v>3Q26</v>
      </c>
      <c r="BB3" s="83" t="str">
        <f t="shared" si="1"/>
        <v>4Q26</v>
      </c>
      <c r="BC3" s="83" t="s">
        <v>75</v>
      </c>
    </row>
    <row r="4" spans="1:55" hidden="1" outlineLevel="1" x14ac:dyDescent="0.2">
      <c r="A4" s="1" t="s">
        <v>2</v>
      </c>
      <c r="F4" s="10">
        <v>42736</v>
      </c>
      <c r="G4" s="7">
        <f>+F5+1</f>
        <v>43101</v>
      </c>
      <c r="H4" s="7">
        <f>+G5+1</f>
        <v>43466</v>
      </c>
      <c r="I4" s="7">
        <f>+H5+1</f>
        <v>43831</v>
      </c>
      <c r="J4" s="7">
        <f t="shared" ref="J4:O4" si="2">+I5+1</f>
        <v>44197</v>
      </c>
      <c r="K4" s="7">
        <f t="shared" si="2"/>
        <v>44562</v>
      </c>
      <c r="L4" s="7">
        <f t="shared" si="2"/>
        <v>44927</v>
      </c>
      <c r="M4" s="7">
        <f t="shared" si="2"/>
        <v>45292</v>
      </c>
      <c r="N4" s="7">
        <f t="shared" si="2"/>
        <v>45658</v>
      </c>
      <c r="O4" s="7">
        <f t="shared" si="2"/>
        <v>46023</v>
      </c>
      <c r="P4" s="7"/>
      <c r="Q4" s="7"/>
      <c r="S4" s="10">
        <v>43101</v>
      </c>
      <c r="T4" s="7">
        <f t="shared" ref="T4:BB4" si="3">+S5+1</f>
        <v>43191</v>
      </c>
      <c r="U4" s="7">
        <f t="shared" si="3"/>
        <v>43282</v>
      </c>
      <c r="V4" s="7">
        <f t="shared" si="3"/>
        <v>43374</v>
      </c>
      <c r="W4" s="7">
        <f t="shared" si="3"/>
        <v>43466</v>
      </c>
      <c r="X4" s="7">
        <f t="shared" si="3"/>
        <v>43556</v>
      </c>
      <c r="Y4" s="7">
        <f t="shared" si="3"/>
        <v>43647</v>
      </c>
      <c r="Z4" s="7">
        <f t="shared" si="3"/>
        <v>43739</v>
      </c>
      <c r="AA4" s="7">
        <f t="shared" si="3"/>
        <v>43831</v>
      </c>
      <c r="AB4" s="7">
        <f t="shared" si="3"/>
        <v>43922</v>
      </c>
      <c r="AC4" s="7">
        <f t="shared" si="3"/>
        <v>44013</v>
      </c>
      <c r="AD4" s="7">
        <f t="shared" si="3"/>
        <v>44105</v>
      </c>
      <c r="AE4" s="7">
        <f t="shared" si="3"/>
        <v>44197</v>
      </c>
      <c r="AF4" s="7">
        <f t="shared" si="3"/>
        <v>44287</v>
      </c>
      <c r="AG4" s="7">
        <f t="shared" si="3"/>
        <v>44378</v>
      </c>
      <c r="AH4" s="7">
        <f t="shared" si="3"/>
        <v>44470</v>
      </c>
      <c r="AI4" s="7">
        <f t="shared" si="3"/>
        <v>44562</v>
      </c>
      <c r="AJ4" s="7">
        <f t="shared" si="3"/>
        <v>44652</v>
      </c>
      <c r="AK4" s="7">
        <f t="shared" si="3"/>
        <v>44743</v>
      </c>
      <c r="AL4" s="7">
        <f t="shared" si="3"/>
        <v>44835</v>
      </c>
      <c r="AM4" s="7">
        <f t="shared" si="3"/>
        <v>44927</v>
      </c>
      <c r="AN4" s="7">
        <f t="shared" si="3"/>
        <v>45017</v>
      </c>
      <c r="AO4" s="7">
        <f t="shared" si="3"/>
        <v>45108</v>
      </c>
      <c r="AP4" s="7">
        <f t="shared" si="3"/>
        <v>45200</v>
      </c>
      <c r="AQ4" s="7">
        <f t="shared" si="3"/>
        <v>45292</v>
      </c>
      <c r="AR4" s="7">
        <f t="shared" si="3"/>
        <v>45383</v>
      </c>
      <c r="AS4" s="7">
        <f t="shared" si="3"/>
        <v>45474</v>
      </c>
      <c r="AT4" s="7">
        <f t="shared" si="3"/>
        <v>45566</v>
      </c>
      <c r="AU4" s="7">
        <f t="shared" si="3"/>
        <v>45658</v>
      </c>
      <c r="AV4" s="7">
        <f t="shared" si="3"/>
        <v>45748</v>
      </c>
      <c r="AW4" s="7">
        <f t="shared" si="3"/>
        <v>45839</v>
      </c>
      <c r="AX4" s="7">
        <f t="shared" si="3"/>
        <v>45931</v>
      </c>
      <c r="AY4" s="7">
        <f t="shared" si="3"/>
        <v>46023</v>
      </c>
      <c r="AZ4" s="7">
        <f t="shared" si="3"/>
        <v>46113</v>
      </c>
      <c r="BA4" s="7">
        <f t="shared" si="3"/>
        <v>46204</v>
      </c>
      <c r="BB4" s="7">
        <f t="shared" si="3"/>
        <v>46296</v>
      </c>
      <c r="BC4" s="8" t="s">
        <v>75</v>
      </c>
    </row>
    <row r="5" spans="1:55" hidden="1" outlineLevel="1" x14ac:dyDescent="0.2">
      <c r="A5" s="1" t="s">
        <v>3</v>
      </c>
      <c r="F5" s="7">
        <f>+EOMONTH(F4,11)</f>
        <v>43100</v>
      </c>
      <c r="G5" s="7">
        <f>+EOMONTH(G4,11)</f>
        <v>43465</v>
      </c>
      <c r="H5" s="7">
        <f>+EOMONTH(H4,11)</f>
        <v>43830</v>
      </c>
      <c r="I5" s="7">
        <f>+EOMONTH(I4,11)</f>
        <v>44196</v>
      </c>
      <c r="J5" s="7">
        <f t="shared" ref="J5:O5" si="4">+EOMONTH(J4,11)</f>
        <v>44561</v>
      </c>
      <c r="K5" s="7">
        <f t="shared" si="4"/>
        <v>44926</v>
      </c>
      <c r="L5" s="7">
        <f t="shared" si="4"/>
        <v>45291</v>
      </c>
      <c r="M5" s="7">
        <f t="shared" si="4"/>
        <v>45657</v>
      </c>
      <c r="N5" s="7">
        <f t="shared" si="4"/>
        <v>46022</v>
      </c>
      <c r="O5" s="7">
        <f t="shared" si="4"/>
        <v>46387</v>
      </c>
      <c r="P5" s="7"/>
      <c r="Q5" s="7"/>
      <c r="S5" s="7">
        <f t="shared" ref="S5:BB5" si="5">+EOMONTH(S4,2)</f>
        <v>43190</v>
      </c>
      <c r="T5" s="7">
        <f t="shared" si="5"/>
        <v>43281</v>
      </c>
      <c r="U5" s="7">
        <f t="shared" si="5"/>
        <v>43373</v>
      </c>
      <c r="V5" s="7">
        <f t="shared" si="5"/>
        <v>43465</v>
      </c>
      <c r="W5" s="7">
        <f t="shared" si="5"/>
        <v>43555</v>
      </c>
      <c r="X5" s="7">
        <f t="shared" si="5"/>
        <v>43646</v>
      </c>
      <c r="Y5" s="7">
        <f t="shared" si="5"/>
        <v>43738</v>
      </c>
      <c r="Z5" s="7">
        <f t="shared" si="5"/>
        <v>43830</v>
      </c>
      <c r="AA5" s="7">
        <f t="shared" si="5"/>
        <v>43921</v>
      </c>
      <c r="AB5" s="7">
        <f t="shared" si="5"/>
        <v>44012</v>
      </c>
      <c r="AC5" s="7">
        <f t="shared" si="5"/>
        <v>44104</v>
      </c>
      <c r="AD5" s="7">
        <f t="shared" si="5"/>
        <v>44196</v>
      </c>
      <c r="AE5" s="7">
        <f t="shared" si="5"/>
        <v>44286</v>
      </c>
      <c r="AF5" s="7">
        <f t="shared" si="5"/>
        <v>44377</v>
      </c>
      <c r="AG5" s="7">
        <f t="shared" si="5"/>
        <v>44469</v>
      </c>
      <c r="AH5" s="7">
        <f t="shared" si="5"/>
        <v>44561</v>
      </c>
      <c r="AI5" s="7">
        <f t="shared" si="5"/>
        <v>44651</v>
      </c>
      <c r="AJ5" s="7">
        <f t="shared" si="5"/>
        <v>44742</v>
      </c>
      <c r="AK5" s="7">
        <f t="shared" si="5"/>
        <v>44834</v>
      </c>
      <c r="AL5" s="7">
        <f t="shared" si="5"/>
        <v>44926</v>
      </c>
      <c r="AM5" s="7">
        <f t="shared" si="5"/>
        <v>45016</v>
      </c>
      <c r="AN5" s="7">
        <f t="shared" si="5"/>
        <v>45107</v>
      </c>
      <c r="AO5" s="7">
        <f t="shared" si="5"/>
        <v>45199</v>
      </c>
      <c r="AP5" s="7">
        <f t="shared" si="5"/>
        <v>45291</v>
      </c>
      <c r="AQ5" s="7">
        <f t="shared" si="5"/>
        <v>45382</v>
      </c>
      <c r="AR5" s="7">
        <f t="shared" si="5"/>
        <v>45473</v>
      </c>
      <c r="AS5" s="7">
        <f t="shared" si="5"/>
        <v>45565</v>
      </c>
      <c r="AT5" s="7">
        <f t="shared" si="5"/>
        <v>45657</v>
      </c>
      <c r="AU5" s="7">
        <f t="shared" si="5"/>
        <v>45747</v>
      </c>
      <c r="AV5" s="7">
        <f t="shared" si="5"/>
        <v>45838</v>
      </c>
      <c r="AW5" s="7">
        <f t="shared" si="5"/>
        <v>45930</v>
      </c>
      <c r="AX5" s="7">
        <f t="shared" si="5"/>
        <v>46022</v>
      </c>
      <c r="AY5" s="7">
        <f t="shared" si="5"/>
        <v>46112</v>
      </c>
      <c r="AZ5" s="7">
        <f t="shared" si="5"/>
        <v>46203</v>
      </c>
      <c r="BA5" s="7">
        <f t="shared" si="5"/>
        <v>46295</v>
      </c>
      <c r="BB5" s="7">
        <f t="shared" si="5"/>
        <v>46387</v>
      </c>
      <c r="BC5" s="8" t="s">
        <v>75</v>
      </c>
    </row>
    <row r="6" spans="1:55" hidden="1" outlineLevel="1" x14ac:dyDescent="0.2">
      <c r="A6" s="1" t="s">
        <v>0</v>
      </c>
      <c r="S6" s="1">
        <f>+YEAR(S5)</f>
        <v>2018</v>
      </c>
      <c r="T6" s="1">
        <f t="shared" ref="T6:BB6" si="6">+YEAR(T5)</f>
        <v>2018</v>
      </c>
      <c r="U6" s="1">
        <f t="shared" si="6"/>
        <v>2018</v>
      </c>
      <c r="V6" s="1">
        <f t="shared" si="6"/>
        <v>2018</v>
      </c>
      <c r="W6" s="1">
        <f t="shared" si="6"/>
        <v>2019</v>
      </c>
      <c r="X6" s="1">
        <f t="shared" si="6"/>
        <v>2019</v>
      </c>
      <c r="Y6" s="1">
        <f t="shared" si="6"/>
        <v>2019</v>
      </c>
      <c r="Z6" s="1">
        <f t="shared" si="6"/>
        <v>2019</v>
      </c>
      <c r="AA6" s="1">
        <f t="shared" si="6"/>
        <v>2020</v>
      </c>
      <c r="AB6" s="1">
        <f t="shared" si="6"/>
        <v>2020</v>
      </c>
      <c r="AC6" s="1">
        <f t="shared" si="6"/>
        <v>2020</v>
      </c>
      <c r="AD6" s="1">
        <f t="shared" si="6"/>
        <v>2020</v>
      </c>
      <c r="AE6" s="1">
        <f t="shared" si="6"/>
        <v>2021</v>
      </c>
      <c r="AF6" s="1">
        <f t="shared" si="6"/>
        <v>2021</v>
      </c>
      <c r="AG6" s="1">
        <f t="shared" si="6"/>
        <v>2021</v>
      </c>
      <c r="AH6" s="1">
        <f t="shared" si="6"/>
        <v>2021</v>
      </c>
      <c r="AI6" s="1">
        <f t="shared" si="6"/>
        <v>2022</v>
      </c>
      <c r="AJ6" s="1">
        <f t="shared" si="6"/>
        <v>2022</v>
      </c>
      <c r="AK6" s="1">
        <f t="shared" si="6"/>
        <v>2022</v>
      </c>
      <c r="AL6" s="1">
        <f t="shared" si="6"/>
        <v>2022</v>
      </c>
      <c r="AM6" s="1">
        <f t="shared" si="6"/>
        <v>2023</v>
      </c>
      <c r="AN6" s="1">
        <f t="shared" si="6"/>
        <v>2023</v>
      </c>
      <c r="AO6" s="1">
        <f t="shared" si="6"/>
        <v>2023</v>
      </c>
      <c r="AP6" s="1">
        <f t="shared" si="6"/>
        <v>2023</v>
      </c>
      <c r="AQ6" s="1">
        <f t="shared" si="6"/>
        <v>2024</v>
      </c>
      <c r="AR6" s="1">
        <f t="shared" si="6"/>
        <v>2024</v>
      </c>
      <c r="AS6" s="1">
        <f t="shared" si="6"/>
        <v>2024</v>
      </c>
      <c r="AT6" s="1">
        <f t="shared" si="6"/>
        <v>2024</v>
      </c>
      <c r="AU6" s="1">
        <f t="shared" si="6"/>
        <v>2025</v>
      </c>
      <c r="AV6" s="1">
        <f t="shared" si="6"/>
        <v>2025</v>
      </c>
      <c r="AW6" s="1">
        <f t="shared" si="6"/>
        <v>2025</v>
      </c>
      <c r="AX6" s="1">
        <f t="shared" si="6"/>
        <v>2025</v>
      </c>
      <c r="AY6" s="1">
        <f t="shared" si="6"/>
        <v>2026</v>
      </c>
      <c r="AZ6" s="1">
        <f t="shared" si="6"/>
        <v>2026</v>
      </c>
      <c r="BA6" s="1">
        <f t="shared" si="6"/>
        <v>2026</v>
      </c>
      <c r="BB6" s="1">
        <f t="shared" si="6"/>
        <v>2026</v>
      </c>
      <c r="BC6" s="8" t="s">
        <v>75</v>
      </c>
    </row>
    <row r="7" spans="1:55" s="248" customFormat="1" collapsed="1" x14ac:dyDescent="0.2">
      <c r="A7" s="17" t="s">
        <v>75</v>
      </c>
      <c r="B7" s="248" t="s">
        <v>459</v>
      </c>
      <c r="BC7" s="249" t="s">
        <v>75</v>
      </c>
    </row>
    <row r="8" spans="1:55" s="3" customFormat="1" hidden="1" outlineLevel="1" x14ac:dyDescent="0.2">
      <c r="A8" s="17" t="s">
        <v>75</v>
      </c>
      <c r="B8" s="3" t="s">
        <v>221</v>
      </c>
      <c r="BC8" s="87" t="s">
        <v>75</v>
      </c>
    </row>
    <row r="9" spans="1:55" hidden="1" outlineLevel="1" x14ac:dyDescent="0.2">
      <c r="B9" s="1" t="s">
        <v>197</v>
      </c>
      <c r="D9" s="45" t="s">
        <v>200</v>
      </c>
      <c r="H9" s="63">
        <f ca="1">+SUMIFS(FX!$11:$11,FX!$3:$3,H$3)</f>
        <v>3.943887038715336</v>
      </c>
      <c r="I9" s="63">
        <f ca="1">+SUMIFS(FX!$11:$11,FX!$3:$3,I$3)</f>
        <v>5.1583516592153948</v>
      </c>
      <c r="J9" s="63">
        <f ca="1">+SUMIFS(FX!$11:$11,FX!$3:$3,J$3)</f>
        <v>5.6016279815717596</v>
      </c>
      <c r="K9" s="63">
        <f ca="1">+SUMIFS(FX!$11:$11,FX!$3:$3,K$3)</f>
        <v>5.7715568420005177</v>
      </c>
      <c r="L9" s="63">
        <f ca="1">+SUMIFS(FX!$11:$11,FX!$3:$3,L$3)</f>
        <v>5.8872736817255227</v>
      </c>
      <c r="M9" s="63">
        <f ca="1">+SUMIFS(FX!$11:$11,FX!$3:$3,M$3)</f>
        <v>6.005310586445554</v>
      </c>
      <c r="N9" s="63">
        <f ca="1">+SUMIFS(FX!$11:$11,FX!$3:$3,N$3)</f>
        <v>6.1257140723080834</v>
      </c>
      <c r="O9" s="63">
        <f ca="1">+SUMIFS(FX!$11:$11,FX!$3:$3,O$3)</f>
        <v>6.2485315880861627</v>
      </c>
    </row>
    <row r="10" spans="1:55" s="3" customFormat="1" collapsed="1" x14ac:dyDescent="0.2">
      <c r="A10" s="17" t="s">
        <v>75</v>
      </c>
      <c r="B10" s="3" t="s">
        <v>5</v>
      </c>
      <c r="BC10" s="87" t="s">
        <v>75</v>
      </c>
    </row>
    <row r="11" spans="1:55" x14ac:dyDescent="0.2">
      <c r="B11" s="1" t="s">
        <v>6</v>
      </c>
      <c r="D11" s="45" t="s">
        <v>201</v>
      </c>
      <c r="H11" s="46"/>
      <c r="I11" s="250">
        <f>+SUMIFS(Segments!8:8,Segments!$3:$3,Summary!I$3)</f>
        <v>6331.0911839999999</v>
      </c>
      <c r="J11" s="250">
        <f ca="1">+SUMIFS(Segments!8:8,Segments!$3:$3,Summary!J$3)</f>
        <v>6891.7743113334627</v>
      </c>
      <c r="K11" s="250">
        <f ca="1">+SUMIFS(Segments!8:8,Segments!$3:$3,Summary!K$3)</f>
        <v>7496.2844948345301</v>
      </c>
      <c r="L11" s="250">
        <f ca="1">+SUMIFS(Segments!8:8,Segments!$3:$3,Summary!L$3)</f>
        <v>8147.6678986011884</v>
      </c>
      <c r="M11" s="250">
        <f ca="1">+SUMIFS(Segments!8:8,Segments!$3:$3,Summary!M$3)</f>
        <v>8849.1692007038291</v>
      </c>
      <c r="N11" s="250">
        <f ca="1">+SUMIFS(Segments!8:8,Segments!$3:$3,Summary!N$3)</f>
        <v>9604.2440133645068</v>
      </c>
      <c r="O11" s="250">
        <f ca="1">+SUMIFS(Segments!8:8,Segments!$3:$3,Summary!O$3)</f>
        <v>10360.880658332933</v>
      </c>
      <c r="Q11" s="97">
        <f ca="1">+IFERROR((O11/J11)^(1/5)-1,"NM")</f>
        <v>8.4958495687075919E-2</v>
      </c>
    </row>
    <row r="12" spans="1:55" hidden="1" outlineLevel="1" x14ac:dyDescent="0.2">
      <c r="B12" s="19" t="s">
        <v>11</v>
      </c>
      <c r="C12" s="19"/>
      <c r="D12" s="45" t="s">
        <v>201</v>
      </c>
      <c r="H12" s="46"/>
      <c r="I12" s="250">
        <f>+SUMIFS(Segments!9:9,Segments!$3:$3,Summary!I$3)</f>
        <v>5144.7331690000001</v>
      </c>
      <c r="J12" s="250">
        <f ca="1">+SUMIFS(Segments!9:9,Segments!$3:$3,Summary!J$3)</f>
        <v>5680.2490881880522</v>
      </c>
      <c r="K12" s="250">
        <f ca="1">+SUMIFS(Segments!9:9,Segments!$3:$3,Summary!K$3)</f>
        <v>6257.6248121833642</v>
      </c>
      <c r="L12" s="250">
        <f ca="1">+SUMIFS(Segments!9:9,Segments!$3:$3,Summary!L$3)</f>
        <v>6879.7697728689418</v>
      </c>
      <c r="M12" s="250">
        <f ca="1">+SUMIFS(Segments!9:9,Segments!$3:$3,Summary!M$3)</f>
        <v>7549.783005465627</v>
      </c>
      <c r="N12" s="250">
        <f ca="1">+SUMIFS(Segments!9:9,Segments!$3:$3,Summary!N$3)</f>
        <v>8270.9650112106319</v>
      </c>
      <c r="O12" s="250">
        <f ca="1">+SUMIFS(Segments!9:9,Segments!$3:$3,Summary!O$3)</f>
        <v>8993.6387437851608</v>
      </c>
    </row>
    <row r="13" spans="1:55" hidden="1" outlineLevel="1" x14ac:dyDescent="0.2">
      <c r="B13" s="19" t="s">
        <v>12</v>
      </c>
      <c r="C13" s="19"/>
      <c r="D13" s="45" t="s">
        <v>201</v>
      </c>
      <c r="H13" s="46"/>
      <c r="I13" s="250">
        <f>+SUMIFS(Segments!10:10,Segments!$3:$3,Summary!I$3)</f>
        <v>241.78286</v>
      </c>
      <c r="J13" s="250">
        <f ca="1">+SUMIFS(Segments!10:10,Segments!$3:$3,Summary!J$3)</f>
        <v>266.95006814540972</v>
      </c>
      <c r="K13" s="250">
        <f ca="1">+SUMIFS(Segments!10:10,Segments!$3:$3,Summary!K$3)</f>
        <v>294.08452765116704</v>
      </c>
      <c r="L13" s="250">
        <f ca="1">+SUMIFS(Segments!10:10,Segments!$3:$3,Summary!L$3)</f>
        <v>323.32297073224618</v>
      </c>
      <c r="M13" s="250">
        <f ca="1">+SUMIFS(Segments!10:10,Segments!$3:$3,Summary!M$3)</f>
        <v>354.81104023820262</v>
      </c>
      <c r="N13" s="250">
        <f ca="1">+SUMIFS(Segments!10:10,Segments!$3:$3,Summary!N$3)</f>
        <v>388.70384715387337</v>
      </c>
      <c r="O13" s="250">
        <f ca="1">+SUMIFS(Segments!10:10,Segments!$3:$3,Summary!O$3)</f>
        <v>422.66675954777452</v>
      </c>
    </row>
    <row r="14" spans="1:55" hidden="1" outlineLevel="1" x14ac:dyDescent="0.2">
      <c r="B14" s="19" t="s">
        <v>130</v>
      </c>
      <c r="C14" s="19"/>
      <c r="D14" s="45" t="s">
        <v>201</v>
      </c>
      <c r="H14" s="46"/>
      <c r="I14" s="250">
        <f>+SUMIFS(Segments!11:11,Segments!$3:$3,Summary!I$3)</f>
        <v>944.575155</v>
      </c>
      <c r="J14" s="250">
        <f>+SUMIFS(Segments!11:11,Segments!$3:$3,Summary!J$3)</f>
        <v>944.575155</v>
      </c>
      <c r="K14" s="250">
        <f>+SUMIFS(Segments!11:11,Segments!$3:$3,Summary!K$3)</f>
        <v>944.575155</v>
      </c>
      <c r="L14" s="250">
        <f>+SUMIFS(Segments!11:11,Segments!$3:$3,Summary!L$3)</f>
        <v>944.575155</v>
      </c>
      <c r="M14" s="250">
        <f>+SUMIFS(Segments!11:11,Segments!$3:$3,Summary!M$3)</f>
        <v>944.575155</v>
      </c>
      <c r="N14" s="250">
        <f>+SUMIFS(Segments!11:11,Segments!$3:$3,Summary!N$3)</f>
        <v>944.575155</v>
      </c>
      <c r="O14" s="250">
        <f>+SUMIFS(Segments!11:11,Segments!$3:$3,Summary!O$3)</f>
        <v>944.575155</v>
      </c>
    </row>
    <row r="15" spans="1:55" collapsed="1" x14ac:dyDescent="0.2">
      <c r="B15" s="1" t="s">
        <v>7</v>
      </c>
      <c r="D15" s="45" t="s">
        <v>201</v>
      </c>
      <c r="H15" s="46"/>
      <c r="I15" s="250">
        <f>+SUMIFS(Segments!12:12,Segments!$3:$3,Summary!I$3)</f>
        <v>1889.3910130816328</v>
      </c>
      <c r="J15" s="250">
        <f ca="1">+SUMIFS(Segments!12:12,Segments!$3:$3,Summary!J$3)</f>
        <v>2040.0008637357143</v>
      </c>
      <c r="K15" s="250">
        <f ca="1">+SUMIFS(Segments!12:12,Segments!$3:$3,Summary!K$3)</f>
        <v>2116.1763689225004</v>
      </c>
      <c r="L15" s="250">
        <f ca="1">+SUMIFS(Segments!12:12,Segments!$3:$3,Summary!L$3)</f>
        <v>2159.2997343780621</v>
      </c>
      <c r="M15" s="250">
        <f ca="1">+SUMIFS(Segments!12:12,Segments!$3:$3,Summary!M$3)</f>
        <v>2203.4033735323392</v>
      </c>
      <c r="N15" s="250">
        <f ca="1">+SUMIFS(Segments!12:12,Segments!$3:$3,Summary!N$3)</f>
        <v>2248.5108151234208</v>
      </c>
      <c r="O15" s="250">
        <f ca="1">+SUMIFS(Segments!12:12,Segments!$3:$3,Summary!O$3)</f>
        <v>2294.6461663268069</v>
      </c>
      <c r="Q15" s="97">
        <f ca="1">+IFERROR((O15/J15)^(1/5)-1,"NM")</f>
        <v>2.3804596723069782E-2</v>
      </c>
    </row>
    <row r="16" spans="1:55" hidden="1" outlineLevel="1" x14ac:dyDescent="0.2">
      <c r="B16" s="19" t="s">
        <v>13</v>
      </c>
      <c r="C16" s="19"/>
      <c r="D16" s="45" t="s">
        <v>201</v>
      </c>
      <c r="H16" s="46"/>
      <c r="I16" s="250">
        <f>+SUMIFS(Segments!13:13,Segments!$3:$3,Summary!I$3)</f>
        <v>561.40300000000002</v>
      </c>
      <c r="J16" s="250">
        <f ca="1">+SUMIFS(Segments!13:13,Segments!$3:$3,Summary!J$3)</f>
        <v>645.61344999999994</v>
      </c>
      <c r="K16" s="250">
        <f ca="1">+SUMIFS(Segments!13:13,Segments!$3:$3,Summary!K$3)</f>
        <v>652.06958450000002</v>
      </c>
      <c r="L16" s="250">
        <f ca="1">+SUMIFS(Segments!13:13,Segments!$3:$3,Summary!L$3)</f>
        <v>658.590280345</v>
      </c>
      <c r="M16" s="250">
        <f ca="1">+SUMIFS(Segments!13:13,Segments!$3:$3,Summary!M$3)</f>
        <v>665.17618314844992</v>
      </c>
      <c r="N16" s="250">
        <f ca="1">+SUMIFS(Segments!13:13,Segments!$3:$3,Summary!N$3)</f>
        <v>671.8279449799345</v>
      </c>
      <c r="O16" s="250">
        <f ca="1">+SUMIFS(Segments!13:13,Segments!$3:$3,Summary!O$3)</f>
        <v>678.5462244297338</v>
      </c>
    </row>
    <row r="17" spans="1:55" hidden="1" outlineLevel="1" x14ac:dyDescent="0.2">
      <c r="B17" s="19" t="s">
        <v>11</v>
      </c>
      <c r="C17" s="19"/>
      <c r="D17" s="45" t="s">
        <v>201</v>
      </c>
      <c r="H17" s="46"/>
      <c r="I17" s="250">
        <f>+SUMIFS(Segments!14:14,Segments!$3:$3,Summary!I$3)</f>
        <v>1058.0132630000001</v>
      </c>
      <c r="J17" s="250">
        <f ca="1">+SUMIFS(Segments!14:14,Segments!$3:$3,Summary!J$3)</f>
        <v>1110.9139261500002</v>
      </c>
      <c r="K17" s="250">
        <f ca="1">+SUMIFS(Segments!14:14,Segments!$3:$3,Summary!K$3)</f>
        <v>1166.4596224575002</v>
      </c>
      <c r="L17" s="250">
        <f ca="1">+SUMIFS(Segments!14:14,Segments!$3:$3,Summary!L$3)</f>
        <v>1195.6211130189374</v>
      </c>
      <c r="M17" s="250">
        <f ca="1">+SUMIFS(Segments!14:14,Segments!$3:$3,Summary!M$3)</f>
        <v>1225.5116408444107</v>
      </c>
      <c r="N17" s="250">
        <f ca="1">+SUMIFS(Segments!14:14,Segments!$3:$3,Summary!N$3)</f>
        <v>1256.1494318655209</v>
      </c>
      <c r="O17" s="250">
        <f ca="1">+SUMIFS(Segments!14:14,Segments!$3:$3,Summary!O$3)</f>
        <v>1287.5531676621588</v>
      </c>
    </row>
    <row r="18" spans="1:55" hidden="1" outlineLevel="1" x14ac:dyDescent="0.2">
      <c r="B18" s="19" t="s">
        <v>12</v>
      </c>
      <c r="C18" s="19"/>
      <c r="D18" s="45" t="s">
        <v>201</v>
      </c>
      <c r="H18" s="46"/>
      <c r="I18" s="250">
        <f>+SUMIFS(Segments!15:15,Segments!$3:$3,Summary!I$3)</f>
        <v>144.398619</v>
      </c>
      <c r="J18" s="250">
        <f ca="1">+SUMIFS(Segments!15:15,Segments!$3:$3,Summary!J$3)</f>
        <v>151.61854994999999</v>
      </c>
      <c r="K18" s="250">
        <f ca="1">+SUMIFS(Segments!15:15,Segments!$3:$3,Summary!K$3)</f>
        <v>159.19947744749999</v>
      </c>
      <c r="L18" s="250">
        <f ca="1">+SUMIFS(Segments!15:15,Segments!$3:$3,Summary!L$3)</f>
        <v>163.1794643836875</v>
      </c>
      <c r="M18" s="250">
        <f ca="1">+SUMIFS(Segments!15:15,Segments!$3:$3,Summary!M$3)</f>
        <v>167.25895099327965</v>
      </c>
      <c r="N18" s="250">
        <f ca="1">+SUMIFS(Segments!15:15,Segments!$3:$3,Summary!N$3)</f>
        <v>171.44042476811163</v>
      </c>
      <c r="O18" s="250">
        <f ca="1">+SUMIFS(Segments!15:15,Segments!$3:$3,Summary!O$3)</f>
        <v>175.72643538731438</v>
      </c>
    </row>
    <row r="19" spans="1:55" hidden="1" outlineLevel="1" x14ac:dyDescent="0.2">
      <c r="B19" s="19" t="s">
        <v>14</v>
      </c>
      <c r="C19" s="19"/>
      <c r="D19" s="45" t="s">
        <v>201</v>
      </c>
      <c r="H19" s="46"/>
      <c r="I19" s="250">
        <f>+SUMIFS(Segments!16:16,Segments!$3:$3,Summary!I$3)</f>
        <v>125.57613108163267</v>
      </c>
      <c r="J19" s="250">
        <f ca="1">+SUMIFS(Segments!16:16,Segments!$3:$3,Summary!J$3)</f>
        <v>131.85493763571429</v>
      </c>
      <c r="K19" s="250">
        <f ca="1">+SUMIFS(Segments!16:16,Segments!$3:$3,Summary!K$3)</f>
        <v>138.44768451750005</v>
      </c>
      <c r="L19" s="250">
        <f ca="1">+SUMIFS(Segments!16:16,Segments!$3:$3,Summary!L$3)</f>
        <v>141.90887663043753</v>
      </c>
      <c r="M19" s="250">
        <f ca="1">+SUMIFS(Segments!16:16,Segments!$3:$3,Summary!M$3)</f>
        <v>145.45659854619845</v>
      </c>
      <c r="N19" s="250">
        <f ca="1">+SUMIFS(Segments!16:16,Segments!$3:$3,Summary!N$3)</f>
        <v>149.09301350985339</v>
      </c>
      <c r="O19" s="250">
        <f ca="1">+SUMIFS(Segments!16:16,Segments!$3:$3,Summary!O$3)</f>
        <v>152.82033884759971</v>
      </c>
    </row>
    <row r="20" spans="1:55" collapsed="1" x14ac:dyDescent="0.2">
      <c r="B20" s="1" t="s">
        <v>8</v>
      </c>
      <c r="D20" s="45" t="s">
        <v>201</v>
      </c>
      <c r="H20" s="46"/>
      <c r="I20" s="250">
        <f>+SUMIFS(Segments!17:17,Segments!$3:$3,Summary!I$3)</f>
        <v>3358.49757</v>
      </c>
      <c r="J20" s="250">
        <f ca="1">+SUMIFS(Segments!17:17,Segments!$3:$3,Summary!J$3)</f>
        <v>3425.6675213999997</v>
      </c>
      <c r="K20" s="250">
        <f ca="1">+SUMIFS(Segments!17:17,Segments!$3:$3,Summary!K$3)</f>
        <v>3494.1808718279999</v>
      </c>
      <c r="L20" s="250">
        <f ca="1">+SUMIFS(Segments!17:17,Segments!$3:$3,Summary!L$3)</f>
        <v>3564.0644892645601</v>
      </c>
      <c r="M20" s="250">
        <f ca="1">+SUMIFS(Segments!17:17,Segments!$3:$3,Summary!M$3)</f>
        <v>3635.3457790498514</v>
      </c>
      <c r="N20" s="250">
        <f ca="1">+SUMIFS(Segments!17:17,Segments!$3:$3,Summary!N$3)</f>
        <v>3708.0526946308482</v>
      </c>
      <c r="O20" s="250">
        <f ca="1">+SUMIFS(Segments!17:17,Segments!$3:$3,Summary!O$3)</f>
        <v>3782.2137485234653</v>
      </c>
      <c r="Q20" s="97">
        <f ca="1">+IFERROR((O20/J20)^(1/5)-1,"NM")</f>
        <v>2.0000000000000018E-2</v>
      </c>
    </row>
    <row r="21" spans="1:55" hidden="1" outlineLevel="1" x14ac:dyDescent="0.2">
      <c r="B21" s="19" t="s">
        <v>15</v>
      </c>
      <c r="C21" s="19"/>
      <c r="D21" s="45" t="s">
        <v>201</v>
      </c>
      <c r="H21" s="46"/>
      <c r="I21" s="250">
        <f>+SUMIFS(Segments!18:18,Segments!$3:$3,Summary!I$3)</f>
        <v>3358.49757</v>
      </c>
      <c r="J21" s="250">
        <f ca="1">+SUMIFS(Segments!18:18,Segments!$3:$3,Summary!J$3)</f>
        <v>3425.6675213999997</v>
      </c>
      <c r="K21" s="250">
        <f ca="1">+SUMIFS(Segments!18:18,Segments!$3:$3,Summary!K$3)</f>
        <v>3494.1808718279999</v>
      </c>
      <c r="L21" s="250">
        <f ca="1">+SUMIFS(Segments!18:18,Segments!$3:$3,Summary!L$3)</f>
        <v>3564.0644892645601</v>
      </c>
      <c r="M21" s="250">
        <f ca="1">+SUMIFS(Segments!18:18,Segments!$3:$3,Summary!M$3)</f>
        <v>3635.3457790498514</v>
      </c>
      <c r="N21" s="250">
        <f ca="1">+SUMIFS(Segments!18:18,Segments!$3:$3,Summary!N$3)</f>
        <v>3708.0526946308482</v>
      </c>
      <c r="O21" s="250">
        <f ca="1">+SUMIFS(Segments!18:18,Segments!$3:$3,Summary!O$3)</f>
        <v>3782.2137485234653</v>
      </c>
    </row>
    <row r="22" spans="1:55" hidden="1" outlineLevel="1" x14ac:dyDescent="0.2">
      <c r="B22" s="19" t="s">
        <v>14</v>
      </c>
      <c r="C22" s="19"/>
      <c r="D22" s="45" t="s">
        <v>201</v>
      </c>
      <c r="H22" s="46"/>
      <c r="I22" s="250">
        <f>+SUMIFS(Segments!19:19,Segments!$3:$3,Summary!I$3)</f>
        <v>0</v>
      </c>
      <c r="J22" s="250">
        <f ca="1">+SUMIFS(Segments!19:19,Segments!$3:$3,Summary!J$3)</f>
        <v>0</v>
      </c>
      <c r="K22" s="250">
        <f ca="1">+SUMIFS(Segments!19:19,Segments!$3:$3,Summary!K$3)</f>
        <v>0</v>
      </c>
      <c r="L22" s="250">
        <f ca="1">+SUMIFS(Segments!19:19,Segments!$3:$3,Summary!L$3)</f>
        <v>0</v>
      </c>
      <c r="M22" s="250">
        <f ca="1">+SUMIFS(Segments!19:19,Segments!$3:$3,Summary!M$3)</f>
        <v>0</v>
      </c>
      <c r="N22" s="250">
        <f ca="1">+SUMIFS(Segments!19:19,Segments!$3:$3,Summary!N$3)</f>
        <v>0</v>
      </c>
      <c r="O22" s="250">
        <f ca="1">+SUMIFS(Segments!19:19,Segments!$3:$3,Summary!O$3)</f>
        <v>0</v>
      </c>
    </row>
    <row r="23" spans="1:55" collapsed="1" x14ac:dyDescent="0.2">
      <c r="B23" s="1" t="s">
        <v>10</v>
      </c>
      <c r="D23" s="45" t="s">
        <v>201</v>
      </c>
      <c r="H23" s="46"/>
      <c r="I23" s="250">
        <f>+SUMIFS(Segments!20:20,Segments!$3:$3,Summary!I$3)</f>
        <v>628.00829900000008</v>
      </c>
      <c r="J23" s="250">
        <f ca="1">+SUMIFS(Segments!20:20,Segments!$3:$3,Summary!J$3)</f>
        <v>933.12930249705755</v>
      </c>
      <c r="K23" s="250">
        <f ca="1">+SUMIFS(Segments!20:20,Segments!$3:$3,Summary!K$3)</f>
        <v>2471.0180940269411</v>
      </c>
      <c r="L23" s="250">
        <f ca="1">+SUMIFS(Segments!20:20,Segments!$3:$3,Summary!L$3)</f>
        <v>2555.4453224269919</v>
      </c>
      <c r="M23" s="250">
        <f ca="1">+SUMIFS(Segments!20:20,Segments!$3:$3,Summary!M$3)</f>
        <v>2642.8234544032712</v>
      </c>
      <c r="N23" s="250">
        <f ca="1">+SUMIFS(Segments!20:20,Segments!$3:$3,Summary!N$3)</f>
        <v>2733.2579930605957</v>
      </c>
      <c r="O23" s="250">
        <f ca="1">+SUMIFS(Segments!20:20,Segments!$3:$3,Summary!O$3)</f>
        <v>2826.8582958905031</v>
      </c>
      <c r="Q23" s="97">
        <f ca="1">+IFERROR((O23/J23)^(1/5)-1,"NM")</f>
        <v>0.24816627021187077</v>
      </c>
    </row>
    <row r="24" spans="1:55" hidden="1" outlineLevel="1" x14ac:dyDescent="0.2">
      <c r="B24" s="19" t="s">
        <v>12</v>
      </c>
      <c r="C24" s="19"/>
      <c r="D24" s="45" t="s">
        <v>201</v>
      </c>
      <c r="H24" s="46"/>
      <c r="I24" s="250">
        <f>+SUMIFS(Segments!21:21,Segments!$3:$3,Summary!I$3)</f>
        <v>628.00829900000008</v>
      </c>
      <c r="J24" s="250">
        <f ca="1">+SUMIFS(Segments!21:21,Segments!$3:$3,Summary!J$3)</f>
        <v>933.12930249705755</v>
      </c>
      <c r="K24" s="250">
        <f ca="1">+SUMIFS(Segments!21:21,Segments!$3:$3,Summary!K$3)</f>
        <v>971.01809402694107</v>
      </c>
      <c r="L24" s="250">
        <f ca="1">+SUMIFS(Segments!21:21,Segments!$3:$3,Summary!L$3)</f>
        <v>1010.4453224269921</v>
      </c>
      <c r="M24" s="250">
        <f ca="1">+SUMIFS(Segments!21:21,Segments!$3:$3,Summary!M$3)</f>
        <v>1051.4734544032713</v>
      </c>
      <c r="N24" s="250">
        <f ca="1">+SUMIFS(Segments!21:21,Segments!$3:$3,Summary!N$3)</f>
        <v>1094.1674930605961</v>
      </c>
      <c r="O24" s="250">
        <f ca="1">+SUMIFS(Segments!21:21,Segments!$3:$3,Summary!O$3)</f>
        <v>1138.5950808905036</v>
      </c>
    </row>
    <row r="25" spans="1:55" hidden="1" outlineLevel="1" x14ac:dyDescent="0.2">
      <c r="B25" s="19" t="s">
        <v>9</v>
      </c>
      <c r="C25" s="19"/>
      <c r="D25" s="45" t="s">
        <v>201</v>
      </c>
      <c r="H25" s="46"/>
      <c r="I25" s="250">
        <f>+SUMIFS(Segments!22:22,Segments!$3:$3,Summary!I$3)</f>
        <v>0</v>
      </c>
      <c r="J25" s="250">
        <f>+SUMIFS(Segments!22:22,Segments!$3:$3,Summary!J$3)</f>
        <v>0</v>
      </c>
      <c r="K25" s="250">
        <f>+SUMIFS(Segments!22:22,Segments!$3:$3,Summary!K$3)</f>
        <v>1500</v>
      </c>
      <c r="L25" s="250">
        <f>+SUMIFS(Segments!22:22,Segments!$3:$3,Summary!L$3)</f>
        <v>1545</v>
      </c>
      <c r="M25" s="250">
        <f>+SUMIFS(Segments!22:22,Segments!$3:$3,Summary!M$3)</f>
        <v>1591.35</v>
      </c>
      <c r="N25" s="250">
        <f>+SUMIFS(Segments!22:22,Segments!$3:$3,Summary!N$3)</f>
        <v>1639.0904999999998</v>
      </c>
      <c r="O25" s="250">
        <f>+SUMIFS(Segments!22:22,Segments!$3:$3,Summary!O$3)</f>
        <v>1688.2632149999999</v>
      </c>
    </row>
    <row r="26" spans="1:55" collapsed="1" x14ac:dyDescent="0.2">
      <c r="B26" s="1" t="s">
        <v>615</v>
      </c>
      <c r="D26" s="45" t="s">
        <v>201</v>
      </c>
      <c r="H26" s="46"/>
      <c r="I26" s="250">
        <f ca="1">+SUMIFS(Segments!23:23,Segments!$3:$3,Summary!I$3)</f>
        <v>0</v>
      </c>
      <c r="J26" s="250">
        <f ca="1">+SUMIFS(Segments!23:23,Segments!$3:$3,Summary!J$3)</f>
        <v>0</v>
      </c>
      <c r="K26" s="250">
        <f ca="1">+SUMIFS(Segments!23:23,Segments!$3:$3,Summary!K$3)</f>
        <v>0</v>
      </c>
      <c r="L26" s="250">
        <f ca="1">+SUMIFS(Segments!23:23,Segments!$3:$3,Summary!L$3)</f>
        <v>0</v>
      </c>
      <c r="M26" s="250">
        <f ca="1">+SUMIFS(Segments!23:23,Segments!$3:$3,Summary!M$3)</f>
        <v>0</v>
      </c>
      <c r="N26" s="250">
        <f ca="1">+SUMIFS(Segments!23:23,Segments!$3:$3,Summary!N$3)</f>
        <v>0</v>
      </c>
      <c r="O26" s="250">
        <f ca="1">+SUMIFS(Segments!23:23,Segments!$3:$3,Summary!O$3)</f>
        <v>0</v>
      </c>
      <c r="Q26" s="97" t="str">
        <f ca="1">+IFERROR((O26/J26)^(1/5)-1,"NM")</f>
        <v>NM</v>
      </c>
    </row>
    <row r="27" spans="1:55" hidden="1" outlineLevel="1" x14ac:dyDescent="0.2">
      <c r="B27" s="19" t="s">
        <v>12</v>
      </c>
      <c r="C27" s="19"/>
      <c r="D27" s="45" t="s">
        <v>201</v>
      </c>
      <c r="H27" s="46"/>
      <c r="I27" s="250">
        <f ca="1">+SUMIFS(Segments!24:24,Segments!$3:$3,Summary!I$3)</f>
        <v>0</v>
      </c>
      <c r="J27" s="250">
        <f ca="1">+SUMIFS(Segments!24:24,Segments!$3:$3,Summary!J$3)</f>
        <v>0</v>
      </c>
      <c r="K27" s="250">
        <f ca="1">+SUMIFS(Segments!24:24,Segments!$3:$3,Summary!K$3)</f>
        <v>0</v>
      </c>
      <c r="L27" s="250">
        <f ca="1">+SUMIFS(Segments!24:24,Segments!$3:$3,Summary!L$3)</f>
        <v>0</v>
      </c>
      <c r="M27" s="250">
        <f ca="1">+SUMIFS(Segments!24:24,Segments!$3:$3,Summary!M$3)</f>
        <v>0</v>
      </c>
      <c r="N27" s="250">
        <f ca="1">+SUMIFS(Segments!24:24,Segments!$3:$3,Summary!N$3)</f>
        <v>0</v>
      </c>
      <c r="O27" s="250">
        <f ca="1">+SUMIFS(Segments!24:24,Segments!$3:$3,Summary!O$3)</f>
        <v>0</v>
      </c>
    </row>
    <row r="28" spans="1:55" hidden="1" outlineLevel="1" x14ac:dyDescent="0.2">
      <c r="B28" s="19" t="s">
        <v>13</v>
      </c>
      <c r="C28" s="19"/>
      <c r="D28" s="45" t="s">
        <v>201</v>
      </c>
      <c r="H28" s="46"/>
      <c r="I28" s="250">
        <f ca="1">+SUMIFS(Segments!25:25,Segments!$3:$3,Summary!I$3)</f>
        <v>0</v>
      </c>
      <c r="J28" s="250">
        <f ca="1">+SUMIFS(Segments!25:25,Segments!$3:$3,Summary!J$3)</f>
        <v>0</v>
      </c>
      <c r="K28" s="250">
        <f ca="1">+SUMIFS(Segments!25:25,Segments!$3:$3,Summary!K$3)</f>
        <v>0</v>
      </c>
      <c r="L28" s="250">
        <f ca="1">+SUMIFS(Segments!25:25,Segments!$3:$3,Summary!L$3)</f>
        <v>0</v>
      </c>
      <c r="M28" s="250">
        <f ca="1">+SUMIFS(Segments!25:25,Segments!$3:$3,Summary!M$3)</f>
        <v>0</v>
      </c>
      <c r="N28" s="250">
        <f ca="1">+SUMIFS(Segments!25:25,Segments!$3:$3,Summary!N$3)</f>
        <v>0</v>
      </c>
      <c r="O28" s="250">
        <f ca="1">+SUMIFS(Segments!25:25,Segments!$3:$3,Summary!O$3)</f>
        <v>0</v>
      </c>
    </row>
    <row r="29" spans="1:55" hidden="1" outlineLevel="1" x14ac:dyDescent="0.2">
      <c r="B29" s="19" t="s">
        <v>15</v>
      </c>
      <c r="C29" s="19"/>
      <c r="D29" s="45" t="s">
        <v>201</v>
      </c>
      <c r="H29" s="46"/>
      <c r="I29" s="250">
        <f ca="1">+SUMIFS(Segments!26:26,Segments!$3:$3,Summary!I$3)</f>
        <v>0</v>
      </c>
      <c r="J29" s="250">
        <f ca="1">+SUMIFS(Segments!26:26,Segments!$3:$3,Summary!J$3)</f>
        <v>0</v>
      </c>
      <c r="K29" s="250">
        <f ca="1">+SUMIFS(Segments!26:26,Segments!$3:$3,Summary!K$3)</f>
        <v>0</v>
      </c>
      <c r="L29" s="250">
        <f ca="1">+SUMIFS(Segments!26:26,Segments!$3:$3,Summary!L$3)</f>
        <v>0</v>
      </c>
      <c r="M29" s="250">
        <f ca="1">+SUMIFS(Segments!26:26,Segments!$3:$3,Summary!M$3)</f>
        <v>0</v>
      </c>
      <c r="N29" s="250">
        <f ca="1">+SUMIFS(Segments!26:26,Segments!$3:$3,Summary!N$3)</f>
        <v>0</v>
      </c>
      <c r="O29" s="250">
        <f ca="1">+SUMIFS(Segments!26:26,Segments!$3:$3,Summary!O$3)</f>
        <v>0</v>
      </c>
    </row>
    <row r="30" spans="1:55" collapsed="1" x14ac:dyDescent="0.2">
      <c r="B30" s="18" t="s">
        <v>17</v>
      </c>
      <c r="C30" s="18"/>
      <c r="D30" s="45" t="s">
        <v>201</v>
      </c>
      <c r="H30" s="46"/>
      <c r="I30" s="251">
        <f ca="1">+SUMIFS(Segments!27:27,Segments!$3:$3,Summary!I$3)</f>
        <v>12206.988066081632</v>
      </c>
      <c r="J30" s="251">
        <f ca="1">+SUMIFS(Segments!27:27,Segments!$3:$3,Summary!J$3)</f>
        <v>13290.571998966234</v>
      </c>
      <c r="K30" s="251">
        <f ca="1">+SUMIFS(Segments!27:27,Segments!$3:$3,Summary!K$3)</f>
        <v>15577.659829611972</v>
      </c>
      <c r="L30" s="251">
        <f ca="1">+SUMIFS(Segments!27:27,Segments!$3:$3,Summary!L$3)</f>
        <v>16426.477444670803</v>
      </c>
      <c r="M30" s="251">
        <f ca="1">+SUMIFS(Segments!27:27,Segments!$3:$3,Summary!M$3)</f>
        <v>17330.741807689286</v>
      </c>
      <c r="N30" s="251">
        <f ca="1">+SUMIFS(Segments!27:27,Segments!$3:$3,Summary!N$3)</f>
        <v>18294.065516179369</v>
      </c>
      <c r="O30" s="251">
        <f ca="1">+SUMIFS(Segments!27:27,Segments!$3:$3,Summary!O$3)</f>
        <v>19264.59886907371</v>
      </c>
      <c r="Q30" s="131">
        <f ca="1">+IFERROR((O30/J30)^(1/5)-1,"NM")</f>
        <v>7.7068338602926501E-2</v>
      </c>
    </row>
    <row r="31" spans="1:55" x14ac:dyDescent="0.2">
      <c r="B31" s="2"/>
      <c r="C31" s="2"/>
      <c r="D31" s="45"/>
      <c r="H31" s="46"/>
      <c r="I31" s="333"/>
      <c r="J31" s="333"/>
      <c r="K31" s="333"/>
      <c r="L31" s="333"/>
      <c r="M31" s="333"/>
      <c r="N31" s="333"/>
      <c r="O31" s="333"/>
    </row>
    <row r="32" spans="1:55" s="3" customFormat="1" x14ac:dyDescent="0.2">
      <c r="A32" s="17" t="s">
        <v>75</v>
      </c>
      <c r="B32" s="3" t="s">
        <v>214</v>
      </c>
      <c r="BC32" s="87" t="s">
        <v>75</v>
      </c>
    </row>
    <row r="33" spans="1:55" s="35" customFormat="1" x14ac:dyDescent="0.2">
      <c r="A33" s="1" t="s">
        <v>75</v>
      </c>
      <c r="B33" s="36" t="s">
        <v>18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BC33" s="90"/>
    </row>
    <row r="34" spans="1:55" x14ac:dyDescent="0.2">
      <c r="B34" s="1" t="s">
        <v>461</v>
      </c>
      <c r="D34" s="45" t="s">
        <v>187</v>
      </c>
      <c r="H34" s="46"/>
      <c r="I34" s="250">
        <f>+SUMIFS(Segments!$41:$41,Segments!$3:$3,Summary!I$3)</f>
        <v>1248.3207974083775</v>
      </c>
      <c r="J34" s="250">
        <f ca="1">+SUMIFS(Segments!$41:$41,Segments!$3:$3,Summary!J$3)</f>
        <v>1483.5917752521761</v>
      </c>
      <c r="K34" s="250">
        <f ca="1">+SUMIFS(Segments!$41:$41,Segments!$3:$3,Summary!K$3)</f>
        <v>1670.591965820096</v>
      </c>
      <c r="L34" s="250">
        <f ca="1">+SUMIFS(Segments!$41:$41,Segments!$3:$3,Summary!L$3)</f>
        <v>1813.0401507578533</v>
      </c>
      <c r="M34" s="250">
        <f ca="1">+SUMIFS(Segments!$41:$41,Segments!$3:$3,Summary!M$3)</f>
        <v>1970.5672351425687</v>
      </c>
      <c r="N34" s="250">
        <f ca="1">+SUMIFS(Segments!$41:$41,Segments!$3:$3,Summary!N$3)</f>
        <v>2144.8473337829541</v>
      </c>
      <c r="O34" s="250">
        <f ca="1">+SUMIFS(Segments!$41:$41,Segments!$3:$3,Summary!O$3)</f>
        <v>2330.4589020738581</v>
      </c>
      <c r="Q34" s="97">
        <f ca="1">+IFERROR((O34/J34)^(1/5)-1,"NM")</f>
        <v>9.4524295788000146E-2</v>
      </c>
    </row>
    <row r="35" spans="1:55" x14ac:dyDescent="0.2">
      <c r="B35" s="1" t="s">
        <v>462</v>
      </c>
      <c r="D35" s="45" t="s">
        <v>187</v>
      </c>
      <c r="H35" s="46"/>
      <c r="I35" s="250">
        <f>+I36-I34</f>
        <v>-610.9173977716589</v>
      </c>
      <c r="J35" s="250">
        <f t="shared" ref="J35:O35" ca="1" si="7">+J36-J34</f>
        <v>-700.61505560262049</v>
      </c>
      <c r="K35" s="250">
        <f t="shared" ca="1" si="7"/>
        <v>-741.5730510069659</v>
      </c>
      <c r="L35" s="250">
        <f t="shared" ca="1" si="7"/>
        <v>-821.41644279503817</v>
      </c>
      <c r="M35" s="250">
        <f t="shared" ca="1" si="7"/>
        <v>-856.6101298746803</v>
      </c>
      <c r="N35" s="250">
        <f t="shared" ca="1" si="7"/>
        <v>-916.07987869000635</v>
      </c>
      <c r="O35" s="250">
        <f t="shared" ca="1" si="7"/>
        <v>-979.84011713145196</v>
      </c>
      <c r="Q35" s="97">
        <f ca="1">+IFERROR((O35/J35)^(1/5)-1,"NM")</f>
        <v>6.9387615305742223E-2</v>
      </c>
    </row>
    <row r="36" spans="1:55" s="2" customFormat="1" x14ac:dyDescent="0.2">
      <c r="B36" s="18" t="s">
        <v>140</v>
      </c>
      <c r="D36" s="45" t="s">
        <v>187</v>
      </c>
      <c r="H36" s="148"/>
      <c r="I36" s="251">
        <f>+SUMIFS(Segments!$59:$59,Segments!$3:$3,Summary!I$3)</f>
        <v>637.40339963671863</v>
      </c>
      <c r="J36" s="251">
        <f ca="1">+SUMIFS(Segments!$59:$59,Segments!$3:$3,Summary!J$3)</f>
        <v>782.97671964955566</v>
      </c>
      <c r="K36" s="251">
        <f ca="1">+SUMIFS(Segments!$59:$59,Segments!$3:$3,Summary!K$3)</f>
        <v>929.0189148131301</v>
      </c>
      <c r="L36" s="251">
        <f ca="1">+SUMIFS(Segments!$59:$59,Segments!$3:$3,Summary!L$3)</f>
        <v>991.62370796281516</v>
      </c>
      <c r="M36" s="251">
        <f ca="1">+SUMIFS(Segments!$59:$59,Segments!$3:$3,Summary!M$3)</f>
        <v>1113.9571052678884</v>
      </c>
      <c r="N36" s="251">
        <f ca="1">+SUMIFS(Segments!$59:$59,Segments!$3:$3,Summary!N$3)</f>
        <v>1228.7674550929478</v>
      </c>
      <c r="O36" s="251">
        <f ca="1">+SUMIFS(Segments!$59:$59,Segments!$3:$3,Summary!O$3)</f>
        <v>1350.6187849424061</v>
      </c>
      <c r="Q36" s="97">
        <f ca="1">+IFERROR((O36/J36)^(1/5)-1,"NM")</f>
        <v>0.11521033956083127</v>
      </c>
    </row>
    <row r="37" spans="1:55" s="25" customFormat="1" x14ac:dyDescent="0.2">
      <c r="B37" s="26" t="s">
        <v>463</v>
      </c>
      <c r="D37" s="45" t="s">
        <v>187</v>
      </c>
      <c r="H37" s="216"/>
      <c r="I37" s="255">
        <f>+I36/I34</f>
        <v>0.51060865200677863</v>
      </c>
      <c r="J37" s="255">
        <f t="shared" ref="J37:O37" ca="1" si="8">+J36/J34</f>
        <v>0.52775752246029251</v>
      </c>
      <c r="K37" s="255">
        <f t="shared" ca="1" si="8"/>
        <v>0.55610162973402866</v>
      </c>
      <c r="L37" s="255">
        <f t="shared" ca="1" si="8"/>
        <v>0.5469397396126694</v>
      </c>
      <c r="M37" s="255">
        <f t="shared" ca="1" si="8"/>
        <v>0.56529768962046845</v>
      </c>
      <c r="N37" s="255">
        <f t="shared" ca="1" si="8"/>
        <v>0.5728927349461842</v>
      </c>
      <c r="O37" s="255">
        <f t="shared" ca="1" si="8"/>
        <v>0.57955056995019327</v>
      </c>
      <c r="Q37" s="97">
        <f ca="1">+(O37-J37)/5</f>
        <v>1.0358609497980153E-2</v>
      </c>
    </row>
    <row r="38" spans="1:55" x14ac:dyDescent="0.2">
      <c r="D38" s="45"/>
      <c r="H38" s="46"/>
      <c r="I38" s="46"/>
      <c r="J38" s="46"/>
      <c r="K38" s="46"/>
      <c r="L38" s="46"/>
      <c r="M38" s="46"/>
      <c r="N38" s="46"/>
      <c r="O38" s="46"/>
    </row>
    <row r="39" spans="1:55" s="35" customFormat="1" x14ac:dyDescent="0.2">
      <c r="A39" s="1" t="s">
        <v>75</v>
      </c>
      <c r="B39" s="36" t="s">
        <v>464</v>
      </c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BC39" s="90"/>
    </row>
    <row r="40" spans="1:55" x14ac:dyDescent="0.2">
      <c r="B40" s="22" t="s">
        <v>466</v>
      </c>
      <c r="D40" s="45" t="s">
        <v>187</v>
      </c>
      <c r="E40" s="46"/>
      <c r="H40" s="134"/>
      <c r="I40" s="250">
        <f>+SUMIFS(Financials!$72:$72,Financials!$3:$3,I$3)</f>
        <v>238.43199999999999</v>
      </c>
      <c r="J40" s="250">
        <f ca="1">+SUMIFS(Financials!$72:$72,Financials!$3:$3,J$3)</f>
        <v>507.80278335514208</v>
      </c>
      <c r="K40" s="250">
        <f ca="1">+SUMIFS(Financials!$72:$72,Financials!$3:$3,K$3)</f>
        <v>608.88326955070295</v>
      </c>
      <c r="L40" s="250">
        <f ca="1">+SUMIFS(Financials!$72:$72,Financials!$3:$3,L$3)</f>
        <v>658.9780545160512</v>
      </c>
      <c r="M40" s="250">
        <f ca="1">+SUMIFS(Financials!$72:$72,Financials!$3:$3,M$3)</f>
        <v>749.13994399404112</v>
      </c>
      <c r="N40" s="250">
        <f ca="1">+SUMIFS(Financials!$72:$72,Financials!$3:$3,N$3)</f>
        <v>833.60100318502782</v>
      </c>
      <c r="O40" s="250">
        <f ca="1">+SUMIFS(Financials!$72:$72,Financials!$3:$3,O$3)</f>
        <v>923.51088206053032</v>
      </c>
    </row>
    <row r="41" spans="1:55" x14ac:dyDescent="0.2">
      <c r="B41" s="22" t="s">
        <v>465</v>
      </c>
      <c r="D41" s="45" t="s">
        <v>187</v>
      </c>
      <c r="E41" s="46"/>
      <c r="H41" s="134"/>
      <c r="I41" s="250">
        <f>+SUMIFS(Financials!$83:$83,Financials!$3:$3,I$3)</f>
        <v>23.605000000000018</v>
      </c>
      <c r="J41" s="250">
        <f ca="1">+SUMIFS(Financials!$83:$83,Financials!$3:$3,J$3)</f>
        <v>-500</v>
      </c>
      <c r="K41" s="250">
        <f ca="1">+SUMIFS(Financials!$83:$83,Financials!$3:$3,K$3)</f>
        <v>-400</v>
      </c>
      <c r="L41" s="250">
        <f ca="1">+SUMIFS(Financials!$83:$83,Financials!$3:$3,L$3)</f>
        <v>-163.1736135682068</v>
      </c>
      <c r="M41" s="250">
        <f ca="1">+SUMIFS(Financials!$83:$83,Financials!$3:$3,M$3)</f>
        <v>-167.49821498711836</v>
      </c>
      <c r="N41" s="250">
        <f ca="1">+SUMIFS(Financials!$83:$83,Financials!$3:$3,N$3)</f>
        <v>-171.58778670263632</v>
      </c>
      <c r="O41" s="250">
        <f ca="1">+SUMIFS(Financials!$83:$83,Financials!$3:$3,O$3)</f>
        <v>-174.78441765553936</v>
      </c>
    </row>
    <row r="42" spans="1:55" x14ac:dyDescent="0.2">
      <c r="B42" s="22" t="s">
        <v>467</v>
      </c>
      <c r="D42" s="45" t="s">
        <v>187</v>
      </c>
      <c r="E42" s="46"/>
      <c r="H42" s="134"/>
      <c r="I42" s="250">
        <f>+SUMIFS(Financials!$92:$92,Financials!$3:$3,I$3)</f>
        <v>-99.38300000000001</v>
      </c>
      <c r="J42" s="250">
        <f ca="1">+SUMIFS(Financials!$92:$92,Financials!$3:$3,J$3)</f>
        <v>-24.674368424649611</v>
      </c>
      <c r="K42" s="250">
        <f ca="1">+SUMIFS(Financials!$92:$92,Financials!$3:$3,K$3)</f>
        <v>-174.89121022064256</v>
      </c>
      <c r="L42" s="250">
        <f ca="1">+SUMIFS(Financials!$92:$92,Financials!$3:$3,L$3)</f>
        <v>-399.97903718156834</v>
      </c>
      <c r="M42" s="250">
        <f ca="1">+SUMIFS(Financials!$92:$92,Financials!$3:$3,M$3)</f>
        <v>-550.21591517171805</v>
      </c>
      <c r="N42" s="250">
        <f ca="1">+SUMIFS(Financials!$92:$92,Financials!$3:$3,N$3)</f>
        <v>-663.03258029251288</v>
      </c>
      <c r="O42" s="250">
        <f ca="1">+SUMIFS(Financials!$92:$92,Financials!$3:$3,O$3)</f>
        <v>-738.429239462444</v>
      </c>
    </row>
    <row r="43" spans="1:55" s="2" customFormat="1" x14ac:dyDescent="0.2">
      <c r="B43" s="18" t="s">
        <v>468</v>
      </c>
      <c r="D43" s="45" t="s">
        <v>187</v>
      </c>
      <c r="H43" s="148"/>
      <c r="I43" s="251">
        <f>+SUM(I40:I42)</f>
        <v>162.65400000000002</v>
      </c>
      <c r="J43" s="251">
        <f t="shared" ref="J43:O43" ca="1" si="9">+SUM(J40:J42)</f>
        <v>-16.871585069507528</v>
      </c>
      <c r="K43" s="251">
        <f t="shared" ca="1" si="9"/>
        <v>33.992059330060385</v>
      </c>
      <c r="L43" s="251">
        <f t="shared" ca="1" si="9"/>
        <v>95.825403766276054</v>
      </c>
      <c r="M43" s="251">
        <f t="shared" ca="1" si="9"/>
        <v>31.425813835204735</v>
      </c>
      <c r="N43" s="251">
        <f t="shared" ca="1" si="9"/>
        <v>-1.0193638101213764</v>
      </c>
      <c r="O43" s="251">
        <f t="shared" ca="1" si="9"/>
        <v>10.297224942547018</v>
      </c>
      <c r="Q43" s="97"/>
    </row>
    <row r="44" spans="1:55" x14ac:dyDescent="0.2">
      <c r="E44" s="46"/>
      <c r="H44" s="134"/>
      <c r="I44" s="134"/>
      <c r="J44" s="134"/>
      <c r="K44" s="134"/>
      <c r="L44" s="134"/>
      <c r="M44" s="134"/>
      <c r="N44" s="134"/>
      <c r="O44" s="134"/>
    </row>
    <row r="45" spans="1:55" s="35" customFormat="1" x14ac:dyDescent="0.2">
      <c r="A45" s="1" t="s">
        <v>75</v>
      </c>
      <c r="B45" s="36" t="s">
        <v>86</v>
      </c>
      <c r="C45" s="36"/>
      <c r="D45" s="36"/>
      <c r="E45" s="36"/>
      <c r="F45" s="36"/>
      <c r="G45" s="36"/>
      <c r="H45" s="36"/>
      <c r="I45" s="36"/>
      <c r="J45" s="241"/>
      <c r="K45" s="241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BC45" s="90"/>
    </row>
    <row r="46" spans="1:55" x14ac:dyDescent="0.2">
      <c r="B46" s="1" t="s">
        <v>646</v>
      </c>
      <c r="D46" s="45" t="s">
        <v>187</v>
      </c>
      <c r="H46" s="46">
        <f>+SUMIFS(Financials!$102:$102,Financials!$3:$3,H$3)+SUMIFS(Financials!$101:$101,Financials!$3:$3,H$3)</f>
        <v>959.13799999999992</v>
      </c>
      <c r="I46" s="250">
        <f>+SUMIFS(Financials!$102:$102,Financials!$3:$3,I$3)+SUMIFS(Financials!$101:$101,Financials!$3:$3,I$3)</f>
        <v>1030.8920000000001</v>
      </c>
      <c r="J46" s="250">
        <f ca="1">+SUMIFS(Financials!$102:$102,Financials!$3:$3,J$3)+SUMIFS(Financials!$101:$101,Financials!$3:$3,J$3)</f>
        <v>1014.0204149304925</v>
      </c>
      <c r="K46" s="250">
        <f ca="1">+SUMIFS(Financials!$102:$102,Financials!$3:$3,K$3)+SUMIFS(Financials!$101:$101,Financials!$3:$3,K$3)</f>
        <v>1048.0124742605528</v>
      </c>
      <c r="L46" s="250">
        <f ca="1">+SUMIFS(Financials!$102:$102,Financials!$3:$3,L$3)+SUMIFS(Financials!$101:$101,Financials!$3:$3,L$3)</f>
        <v>1143.837878026829</v>
      </c>
      <c r="M46" s="250">
        <f ca="1">+SUMIFS(Financials!$102:$102,Financials!$3:$3,M$3)+SUMIFS(Financials!$101:$101,Financials!$3:$3,M$3)</f>
        <v>1175.2636918620337</v>
      </c>
      <c r="N46" s="250">
        <f ca="1">+SUMIFS(Financials!$102:$102,Financials!$3:$3,N$3)+SUMIFS(Financials!$101:$101,Financials!$3:$3,N$3)</f>
        <v>1174.2443280519124</v>
      </c>
      <c r="O46" s="250">
        <f ca="1">+SUMIFS(Financials!$102:$102,Financials!$3:$3,O$3)+SUMIFS(Financials!$101:$101,Financials!$3:$3,O$3)</f>
        <v>1184.5415529944592</v>
      </c>
    </row>
    <row r="47" spans="1:55" x14ac:dyDescent="0.2">
      <c r="B47" s="1" t="s">
        <v>152</v>
      </c>
      <c r="D47" s="45" t="s">
        <v>187</v>
      </c>
      <c r="H47" s="46">
        <f>+SUMIFS(Debt!$22:$22,Debt!$3:$3,Summary!H$3)</f>
        <v>2031.3709999999999</v>
      </c>
      <c r="I47" s="250">
        <f>+SUMIFS(Debt!$22:$22,Debt!$3:$3,Summary!I$3)</f>
        <v>2692.2420000000002</v>
      </c>
      <c r="J47" s="250">
        <f ca="1">+SUMIFS(Debt!$22:$22,Debt!$3:$3,Summary!J$3)</f>
        <v>3119.692345044627</v>
      </c>
      <c r="K47" s="250">
        <f ca="1">+SUMIFS(Debt!$22:$22,Debt!$3:$3,Summary!K$3)</f>
        <v>3143.2357203016568</v>
      </c>
      <c r="L47" s="250">
        <f ca="1">+SUMIFS(Debt!$22:$22,Debt!$3:$3,Summary!L$3)</f>
        <v>3105.5921761259497</v>
      </c>
      <c r="M47" s="250">
        <f ca="1">+SUMIFS(Debt!$22:$22,Debt!$3:$3,Summary!M$3)</f>
        <v>3132.997439644133</v>
      </c>
      <c r="N47" s="250">
        <f ca="1">+SUMIFS(Debt!$22:$22,Debt!$3:$3,Summary!N$3)</f>
        <v>3193.4997434651177</v>
      </c>
      <c r="O47" s="250">
        <f ca="1">+SUMIFS(Debt!$22:$22,Debt!$3:$3,Summary!O$3)</f>
        <v>3243.3398111690053</v>
      </c>
    </row>
    <row r="48" spans="1:55" x14ac:dyDescent="0.2">
      <c r="B48" s="1" t="s">
        <v>153</v>
      </c>
      <c r="D48" s="45" t="s">
        <v>75</v>
      </c>
      <c r="H48" s="49">
        <f>+SUMIFS(Debt!$23:$23,Debt!$3:$3,Summary!H$3)</f>
        <v>4.4063106595760022</v>
      </c>
      <c r="I48" s="162">
        <f>+SUMIFS(Debt!$23:$23,Debt!$3:$3,Summary!I$3)</f>
        <v>4.2237647328746837</v>
      </c>
      <c r="J48" s="162">
        <f ca="1">+SUMIFS(Debt!$23:$23,Debt!$3:$3,Summary!J$3)</f>
        <v>3.9843998764624029</v>
      </c>
      <c r="K48" s="162">
        <f ca="1">+SUMIFS(Debt!$23:$23,Debt!$3:$3,Summary!K$3)</f>
        <v>3.3833925985607203</v>
      </c>
      <c r="L48" s="162">
        <f ca="1">+SUMIFS(Debt!$23:$23,Debt!$3:$3,Summary!L$3)</f>
        <v>3.1318252591056508</v>
      </c>
      <c r="M48" s="162">
        <f ca="1">+SUMIFS(Debt!$23:$23,Debt!$3:$3,Summary!M$3)</f>
        <v>2.8124937888795083</v>
      </c>
      <c r="N48" s="162">
        <f ca="1">+SUMIFS(Debt!$23:$23,Debt!$3:$3,Summary!N$3)</f>
        <v>2.5989455777241037</v>
      </c>
      <c r="O48" s="162">
        <f ca="1">+SUMIFS(Debt!$23:$23,Debt!$3:$3,Summary!O$3)</f>
        <v>2.401373242641009</v>
      </c>
    </row>
    <row r="49" spans="1:55" hidden="1" outlineLevel="1" x14ac:dyDescent="0.2">
      <c r="B49" s="1" t="s">
        <v>483</v>
      </c>
      <c r="D49" s="45" t="s">
        <v>75</v>
      </c>
      <c r="H49" s="49"/>
      <c r="I49" s="162">
        <f>+SUMIFS(Debt!$25:$25,Debt!$3:$3,Summary!I$3)</f>
        <v>8.6999999999999993</v>
      </c>
      <c r="J49" s="162">
        <f ca="1">+SUMIFS(Debt!$25:$25,Debt!$3:$3,Summary!J$3)</f>
        <v>5.825458393727267</v>
      </c>
      <c r="K49" s="258">
        <f ca="1">+K48</f>
        <v>3.3833925985607203</v>
      </c>
      <c r="L49" s="162">
        <f ca="1">+L48</f>
        <v>3.1318252591056508</v>
      </c>
      <c r="M49" s="162">
        <f ca="1">+M48</f>
        <v>2.8124937888795083</v>
      </c>
      <c r="N49" s="162">
        <f ca="1">+N48</f>
        <v>2.5989455777241037</v>
      </c>
      <c r="O49" s="162">
        <f ca="1">+O48</f>
        <v>2.401373242641009</v>
      </c>
    </row>
    <row r="50" spans="1:55" collapsed="1" x14ac:dyDescent="0.2">
      <c r="B50" s="1" t="s">
        <v>320</v>
      </c>
      <c r="D50" s="45" t="s">
        <v>75</v>
      </c>
      <c r="H50" s="49">
        <f>+SUMIFS(Debt!$26:$26,Debt!$3:$3,Summary!H$3)</f>
        <v>6.1910993519945787</v>
      </c>
      <c r="I50" s="162">
        <f>+SUMIFS(Debt!$26:$26,Debt!$3:$3,Summary!I$3)</f>
        <v>2.0867888688928642</v>
      </c>
      <c r="J50" s="162">
        <f ca="1">+SUMIFS(Debt!$26:$26,Debt!$3:$3,Summary!J$3)</f>
        <v>3.6271545433884458</v>
      </c>
      <c r="K50" s="162">
        <f ca="1">+SUMIFS(Debt!$26:$26,Debt!$3:$3,Summary!K$3)</f>
        <v>4.8581680621951522</v>
      </c>
      <c r="L50" s="162">
        <f ca="1">+SUMIFS(Debt!$26:$26,Debt!$3:$3,Summary!L$3)</f>
        <v>5.1542758568278613</v>
      </c>
      <c r="M50" s="162">
        <f ca="1">+SUMIFS(Debt!$26:$26,Debt!$3:$3,Summary!M$3)</f>
        <v>5.7006365954471843</v>
      </c>
      <c r="N50" s="162">
        <f ca="1">+SUMIFS(Debt!$26:$26,Debt!$3:$3,Summary!N$3)</f>
        <v>6.1910820758391525</v>
      </c>
      <c r="O50" s="162">
        <f ca="1">+SUMIFS(Debt!$26:$26,Debt!$3:$3,Summary!O$3)</f>
        <v>6.7000729380492263</v>
      </c>
    </row>
    <row r="51" spans="1:55" x14ac:dyDescent="0.2">
      <c r="D51" s="45"/>
      <c r="H51" s="49"/>
      <c r="I51" s="49"/>
      <c r="J51" s="49"/>
      <c r="K51" s="49"/>
      <c r="L51" s="49"/>
      <c r="M51" s="49"/>
      <c r="N51" s="49"/>
      <c r="O51" s="49"/>
    </row>
    <row r="52" spans="1:55" s="35" customFormat="1" x14ac:dyDescent="0.2">
      <c r="A52" s="1" t="s">
        <v>75</v>
      </c>
      <c r="B52" s="36" t="s">
        <v>638</v>
      </c>
      <c r="C52" s="36"/>
      <c r="D52" s="36"/>
      <c r="E52" s="36"/>
      <c r="F52" s="36"/>
      <c r="G52" s="36"/>
      <c r="H52" s="36"/>
      <c r="I52" s="36"/>
      <c r="J52" s="241"/>
      <c r="K52" s="241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BC52" s="90"/>
    </row>
    <row r="53" spans="1:55" x14ac:dyDescent="0.2">
      <c r="B53" s="339" t="s">
        <v>342</v>
      </c>
      <c r="C53" s="339"/>
      <c r="D53" s="340" t="s">
        <v>338</v>
      </c>
      <c r="E53" s="23"/>
      <c r="F53" s="339"/>
      <c r="G53" s="339"/>
      <c r="H53" s="341">
        <f>+SUMIFS(Financials!$184:$184,Financials!$3:$3,H$3)</f>
        <v>0</v>
      </c>
      <c r="I53" s="341">
        <f>+SUMIFS(Financials!$184:$184,Financials!$3:$3,I$3)</f>
        <v>0</v>
      </c>
      <c r="J53" s="341">
        <f ca="1">+SUMIFS(Financials!$184:$184,Financials!$3:$3,J$3)</f>
        <v>0</v>
      </c>
      <c r="K53" s="341">
        <f ca="1">+SUMIFS(Financials!$184:$184,Financials!$3:$3,K$3)</f>
        <v>0.4</v>
      </c>
      <c r="L53" s="341">
        <f ca="1">+SUMIFS(Financials!$184:$184,Financials!$3:$3,L$3)</f>
        <v>0.60000000000000009</v>
      </c>
      <c r="M53" s="341">
        <f ca="1">+SUMIFS(Financials!$184:$184,Financials!$3:$3,M$3)</f>
        <v>0.8</v>
      </c>
      <c r="N53" s="341">
        <f ca="1">+SUMIFS(Financials!$184:$184,Financials!$3:$3,N$3)</f>
        <v>0.9</v>
      </c>
      <c r="O53" s="341">
        <f ca="1">+SUMIFS(Financials!$184:$184,Financials!$3:$3,O$3)</f>
        <v>1</v>
      </c>
      <c r="P53" s="339"/>
      <c r="Q53" s="339"/>
    </row>
    <row r="54" spans="1:55" x14ac:dyDescent="0.2">
      <c r="B54" s="339" t="s">
        <v>345</v>
      </c>
      <c r="C54" s="339"/>
      <c r="D54" s="340" t="s">
        <v>187</v>
      </c>
      <c r="E54" s="23"/>
      <c r="F54" s="339"/>
      <c r="G54" s="339"/>
      <c r="H54" s="23">
        <f>+SUMIFS(Financials!$191:$191,Financials!$3:$3,H$3)</f>
        <v>0</v>
      </c>
      <c r="I54" s="23">
        <f>+SUMIFS(Financials!$191:$191,Financials!$3:$3,I$3)</f>
        <v>0</v>
      </c>
      <c r="J54" s="23">
        <f ca="1">+SUMIFS(Financials!$191:$191,Financials!$3:$3,J$3)</f>
        <v>0</v>
      </c>
      <c r="K54" s="23">
        <f ca="1">+SUMIFS(Financials!$191:$191,Financials!$3:$3,K$3)</f>
        <v>149.72213300000001</v>
      </c>
      <c r="L54" s="23">
        <f ca="1">+SUMIFS(Financials!$191:$191,Financials!$3:$3,L$3)</f>
        <v>374.30533250000008</v>
      </c>
      <c r="M54" s="23">
        <f ca="1">+SUMIFS(Financials!$191:$191,Financials!$3:$3,M$3)</f>
        <v>524.02746550000006</v>
      </c>
      <c r="N54" s="23">
        <f ca="1">+SUMIFS(Financials!$191:$191,Financials!$3:$3,N$3)</f>
        <v>636.31906524999999</v>
      </c>
      <c r="O54" s="23">
        <f ca="1">+SUMIFS(Financials!$191:$191,Financials!$3:$3,O$3)</f>
        <v>711.1801317500001</v>
      </c>
      <c r="P54" s="339"/>
      <c r="Q54" s="339"/>
    </row>
    <row r="55" spans="1:55" x14ac:dyDescent="0.2">
      <c r="B55" s="339" t="s">
        <v>417</v>
      </c>
      <c r="C55" s="339"/>
      <c r="D55" s="340" t="s">
        <v>199</v>
      </c>
      <c r="E55" s="23"/>
      <c r="F55" s="339"/>
      <c r="G55" s="339"/>
      <c r="H55" s="162">
        <f>+SUMIFS(Financials!$188:$188,Financials!$3:$3,H$3)</f>
        <v>0</v>
      </c>
      <c r="I55" s="162">
        <f>+SUMIFS(Financials!$188:$188,Financials!$3:$3,I$3)</f>
        <v>0</v>
      </c>
      <c r="J55" s="162">
        <f ca="1">+SUMIFS(Financials!$188:$188,Financials!$3:$3,J$3)</f>
        <v>0</v>
      </c>
      <c r="K55" s="162">
        <f ca="1">+SUMIFS(Financials!$188:$188,Financials!$3:$3,K$3)</f>
        <v>2.7111701628006366</v>
      </c>
      <c r="L55" s="162">
        <f ca="1">+SUMIFS(Financials!$188:$188,Financials!$3:$3,L$3)</f>
        <v>1.6004873739033774</v>
      </c>
      <c r="M55" s="162">
        <f ca="1">+SUMIFS(Financials!$188:$188,Financials!$3:$3,M$3)</f>
        <v>1.3342760200440391</v>
      </c>
      <c r="N55" s="162">
        <f ca="1">+SUMIFS(Financials!$188:$188,Financials!$3:$3,N$3)</f>
        <v>1.2726065835341644</v>
      </c>
      <c r="O55" s="162">
        <f ca="1">+SUMIFS(Financials!$188:$188,Financials!$3:$3,O$3)</f>
        <v>1.2652646997317496</v>
      </c>
      <c r="P55" s="339"/>
      <c r="Q55" s="339"/>
    </row>
    <row r="56" spans="1:55" s="25" customFormat="1" x14ac:dyDescent="0.2">
      <c r="B56" s="335" t="s">
        <v>428</v>
      </c>
      <c r="C56" s="335"/>
      <c r="D56" s="340" t="s">
        <v>177</v>
      </c>
      <c r="E56" s="23"/>
      <c r="F56" s="335"/>
      <c r="G56" s="335"/>
      <c r="H56" s="30">
        <f t="shared" ref="H56:O56" ca="1" si="10">+H53/SharePrice</f>
        <v>0</v>
      </c>
      <c r="I56" s="30">
        <f t="shared" ca="1" si="10"/>
        <v>0</v>
      </c>
      <c r="J56" s="30">
        <f t="shared" ca="1" si="10"/>
        <v>0</v>
      </c>
      <c r="K56" s="30">
        <f t="shared" ca="1" si="10"/>
        <v>6.6666666666666666E-2</v>
      </c>
      <c r="L56" s="30">
        <f t="shared" ca="1" si="10"/>
        <v>0.10000000000000002</v>
      </c>
      <c r="M56" s="30">
        <f t="shared" ca="1" si="10"/>
        <v>0.13333333333333333</v>
      </c>
      <c r="N56" s="30">
        <f t="shared" ca="1" si="10"/>
        <v>0.15</v>
      </c>
      <c r="O56" s="30">
        <f t="shared" ca="1" si="10"/>
        <v>0.16666666666666666</v>
      </c>
      <c r="P56" s="335"/>
      <c r="Q56" s="335"/>
    </row>
    <row r="57" spans="1:55" x14ac:dyDescent="0.2">
      <c r="B57" s="339"/>
      <c r="C57" s="339"/>
      <c r="D57" s="339"/>
      <c r="E57" s="23"/>
      <c r="F57" s="339"/>
      <c r="G57" s="339"/>
      <c r="H57" s="31"/>
      <c r="I57" s="31"/>
      <c r="J57" s="31"/>
      <c r="K57" s="339"/>
      <c r="L57" s="339"/>
      <c r="M57" s="339"/>
      <c r="N57" s="339"/>
      <c r="O57" s="339"/>
      <c r="P57" s="339"/>
      <c r="Q57" s="339"/>
    </row>
    <row r="58" spans="1:55" s="3" customFormat="1" x14ac:dyDescent="0.2">
      <c r="A58" s="17" t="s">
        <v>75</v>
      </c>
      <c r="B58" s="3" t="s">
        <v>443</v>
      </c>
      <c r="BC58" s="87" t="s">
        <v>75</v>
      </c>
    </row>
    <row r="59" spans="1:55" s="35" customFormat="1" x14ac:dyDescent="0.2">
      <c r="A59" s="1" t="s">
        <v>75</v>
      </c>
      <c r="B59" s="36" t="s">
        <v>475</v>
      </c>
      <c r="C59" s="36"/>
      <c r="D59" s="36"/>
      <c r="E59" s="36"/>
      <c r="F59" s="36"/>
      <c r="G59" s="36"/>
      <c r="H59" s="36"/>
      <c r="I59" s="36"/>
      <c r="J59" s="241"/>
      <c r="K59" s="241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BC59" s="90"/>
    </row>
    <row r="60" spans="1:55" x14ac:dyDescent="0.2">
      <c r="B60" s="1" t="s">
        <v>140</v>
      </c>
      <c r="D60" s="45" t="s">
        <v>187</v>
      </c>
      <c r="H60" s="46">
        <f>+SUMIFS(Segments!$59:$59,Segments!$3:$3,Summary!H$3)</f>
        <v>461.01402214692433</v>
      </c>
      <c r="I60" s="250">
        <f>+SUMIFS(Segments!$59:$59,Segments!$3:$3,Summary!I$3)</f>
        <v>637.40339963671863</v>
      </c>
      <c r="J60" s="250">
        <f ca="1">+SUMIFS(Segments!$59:$59,Segments!$3:$3,Summary!J$3)</f>
        <v>782.97671964955566</v>
      </c>
      <c r="K60" s="250">
        <f ca="1">+SUMIFS(Segments!$59:$59,Segments!$3:$3,Summary!K$3)</f>
        <v>929.0189148131301</v>
      </c>
      <c r="L60" s="250">
        <f ca="1">+SUMIFS(Segments!$59:$59,Segments!$3:$3,Summary!L$3)</f>
        <v>991.62370796281516</v>
      </c>
      <c r="M60" s="250">
        <f ca="1">+SUMIFS(Segments!$59:$59,Segments!$3:$3,Summary!M$3)</f>
        <v>1113.9571052678884</v>
      </c>
      <c r="N60" s="250">
        <f ca="1">+SUMIFS(Segments!$59:$59,Segments!$3:$3,Summary!N$3)</f>
        <v>1228.7674550929478</v>
      </c>
      <c r="O60" s="250">
        <f ca="1">+SUMIFS(Segments!$59:$59,Segments!$3:$3,Summary!O$3)</f>
        <v>1350.6187849424061</v>
      </c>
    </row>
    <row r="61" spans="1:55" x14ac:dyDescent="0.2">
      <c r="B61" s="1" t="s">
        <v>363</v>
      </c>
      <c r="D61" s="45" t="s">
        <v>187</v>
      </c>
      <c r="H61" s="46">
        <f>+SUMIFS(Financials!$18:$18,Financials!$3:$3,H$3)</f>
        <v>-170.20699999999999</v>
      </c>
      <c r="I61" s="250">
        <f>+SUMIFS(Financials!$18:$18,Financials!$3:$3,I$3)</f>
        <v>-251.02599999999998</v>
      </c>
      <c r="J61" s="250">
        <f ca="1">+SUMIFS(Financials!$18:$18,Financials!$3:$3,J$3)</f>
        <v>-215.86527683987455</v>
      </c>
      <c r="K61" s="250">
        <f ca="1">+SUMIFS(Financials!$18:$18,Financials!$3:$3,K$3)</f>
        <v>-191.2282372531499</v>
      </c>
      <c r="L61" s="250">
        <f ca="1">+SUMIFS(Financials!$18:$18,Financials!$3:$3,L$3)</f>
        <v>-192.38855961681071</v>
      </c>
      <c r="M61" s="250">
        <f ca="1">+SUMIFS(Financials!$18:$18,Financials!$3:$3,M$3)</f>
        <v>-195.40924712821561</v>
      </c>
      <c r="N61" s="250">
        <f ca="1">+SUMIFS(Financials!$18:$18,Financials!$3:$3,N$3)</f>
        <v>-198.47377890340729</v>
      </c>
      <c r="O61" s="250">
        <f ca="1">+SUMIFS(Financials!$18:$18,Financials!$3:$3,O$3)</f>
        <v>-201.58269879008935</v>
      </c>
    </row>
    <row r="62" spans="1:55" x14ac:dyDescent="0.2">
      <c r="B62" s="1" t="s">
        <v>364</v>
      </c>
      <c r="D62" s="45" t="s">
        <v>187</v>
      </c>
      <c r="H62" s="46">
        <f>+SUMIFS(Financials!$20:$20,Financials!$3:$3,H$3)</f>
        <v>-40.473999999999997</v>
      </c>
      <c r="I62" s="250">
        <f>+SUMIFS(Financials!$20:$20,Financials!$3:$3,I$3)</f>
        <v>-68.290999999999997</v>
      </c>
      <c r="J62" s="250">
        <f ca="1">+SUMIFS(Financials!$20:$20,Financials!$3:$3,J$3)</f>
        <v>-81.843217845277394</v>
      </c>
      <c r="K62" s="250">
        <f ca="1">+SUMIFS(Financials!$20:$20,Financials!$3:$3,K$3)</f>
        <v>-121.70052653285219</v>
      </c>
      <c r="L62" s="250">
        <f ca="1">+SUMIFS(Financials!$20:$20,Financials!$3:$3,L$3)</f>
        <v>-135.26176202592873</v>
      </c>
      <c r="M62" s="250">
        <f ca="1">+SUMIFS(Financials!$20:$20,Financials!$3:$3,M$3)</f>
        <v>-163.90510740680992</v>
      </c>
      <c r="N62" s="250">
        <f ca="1">+SUMIFS(Financials!$20:$20,Financials!$3:$3,N$3)</f>
        <v>-190.62688908135317</v>
      </c>
      <c r="O62" s="250">
        <f ca="1">+SUMIFS(Financials!$20:$20,Financials!$3:$3,O$3)</f>
        <v>-219.07259385027436</v>
      </c>
    </row>
    <row r="63" spans="1:55" x14ac:dyDescent="0.2">
      <c r="B63" s="1" t="s">
        <v>367</v>
      </c>
      <c r="D63" s="45" t="s">
        <v>187</v>
      </c>
      <c r="H63" s="46">
        <f>-SUMIFS(Financials!$169:$169,Financials!$3:$3,H$3)</f>
        <v>-173.81979715379771</v>
      </c>
      <c r="I63" s="250">
        <f>-SUMIFS(Financials!$169:$169,Financials!$3:$3,I$3)</f>
        <v>97.656999999999925</v>
      </c>
      <c r="J63" s="250">
        <f ca="1">-SUMIFS(Financials!$169:$169,Financials!$3:$3,J$3)</f>
        <v>22.534558390738539</v>
      </c>
      <c r="K63" s="250">
        <f ca="1">-SUMIFS(Financials!$169:$169,Financials!$3:$3,K$3)</f>
        <v>-7.2068814764254512</v>
      </c>
      <c r="L63" s="250">
        <f ca="1">-SUMIFS(Financials!$169:$169,Financials!$3:$3,L$3)</f>
        <v>-4.9953318040240902</v>
      </c>
      <c r="M63" s="250">
        <f ca="1">-SUMIFS(Financials!$169:$169,Financials!$3:$3,M$3)</f>
        <v>-5.5028067388220734</v>
      </c>
      <c r="N63" s="250">
        <f ca="1">-SUMIFS(Financials!$169:$169,Financials!$3:$3,N$3)</f>
        <v>-6.065783923159529</v>
      </c>
      <c r="O63" s="250">
        <f ca="1">-SUMIFS(Financials!$169:$169,Financials!$3:$3,O$3)</f>
        <v>-6.4526102415121613</v>
      </c>
    </row>
    <row r="64" spans="1:55" x14ac:dyDescent="0.2">
      <c r="B64" s="1" t="s">
        <v>368</v>
      </c>
      <c r="D64" s="45" t="s">
        <v>187</v>
      </c>
      <c r="H64" s="46">
        <f>+SUMIFS(Financials!$76:$76,Financials!$3:$3,H$3)</f>
        <v>-96.009999999999991</v>
      </c>
      <c r="I64" s="250">
        <f>+SUMIFS(Financials!$76:$76,Financials!$3:$3,I$3)</f>
        <v>-253.411</v>
      </c>
      <c r="J64" s="250">
        <f ca="1">+SUMIFS(Financials!$76:$76,Financials!$3:$3,J$3)</f>
        <v>-500</v>
      </c>
      <c r="K64" s="250">
        <f ca="1">+SUMIFS(Financials!$76:$76,Financials!$3:$3,K$3)</f>
        <v>-400</v>
      </c>
      <c r="L64" s="250">
        <f ca="1">+SUMIFS(Financials!$76:$76,Financials!$3:$3,L$3)</f>
        <v>-163.1736135682068</v>
      </c>
      <c r="M64" s="250">
        <f ca="1">+SUMIFS(Financials!$76:$76,Financials!$3:$3,M$3)</f>
        <v>-167.49821498711836</v>
      </c>
      <c r="N64" s="250">
        <f ca="1">+SUMIFS(Financials!$76:$76,Financials!$3:$3,N$3)</f>
        <v>-171.58778670263632</v>
      </c>
      <c r="O64" s="250">
        <f ca="1">+SUMIFS(Financials!$76:$76,Financials!$3:$3,O$3)</f>
        <v>-174.78441765553936</v>
      </c>
    </row>
    <row r="65" spans="1:55" x14ac:dyDescent="0.2">
      <c r="B65" s="1" t="s">
        <v>370</v>
      </c>
      <c r="D65" s="45" t="s">
        <v>187</v>
      </c>
      <c r="H65" s="46">
        <f>+SUMIFS(Debt!$44:$44,Debt!$3:$3,H$3)</f>
        <v>-1.8919317416080021</v>
      </c>
      <c r="I65" s="250">
        <f>+SUMIFS(Debt!$44:$44,Debt!$3:$3,I$3)</f>
        <v>-117.133</v>
      </c>
      <c r="J65" s="250">
        <f ca="1">+SUMIFS(Debt!$44:$44,Debt!$3:$3,J$3)</f>
        <v>0</v>
      </c>
      <c r="K65" s="250">
        <f ca="1">+SUMIFS(Debt!$44:$44,Debt!$3:$3,K$3)</f>
        <v>0</v>
      </c>
      <c r="L65" s="250">
        <f ca="1">+SUMIFS(Debt!$44:$44,Debt!$3:$3,L$3)</f>
        <v>0</v>
      </c>
      <c r="M65" s="250">
        <f ca="1">+SUMIFS(Debt!$44:$44,Debt!$3:$3,M$3)</f>
        <v>0</v>
      </c>
      <c r="N65" s="250">
        <f ca="1">+SUMIFS(Debt!$44:$44,Debt!$3:$3,N$3)</f>
        <v>0</v>
      </c>
      <c r="O65" s="250">
        <f ca="1">+SUMIFS(Debt!$44:$44,Debt!$3:$3,O$3)</f>
        <v>0</v>
      </c>
    </row>
    <row r="66" spans="1:55" x14ac:dyDescent="0.2">
      <c r="B66" s="18" t="s">
        <v>369</v>
      </c>
      <c r="C66" s="18"/>
      <c r="D66" s="45" t="s">
        <v>187</v>
      </c>
      <c r="H66" s="13">
        <f>+SUM(H60:H65)</f>
        <v>-21.388706748481351</v>
      </c>
      <c r="I66" s="13">
        <f t="shared" ref="I66:O66" si="11">+SUM(I60:I65)</f>
        <v>45.19939963671861</v>
      </c>
      <c r="J66" s="13">
        <f t="shared" ca="1" si="11"/>
        <v>7.8027833551421963</v>
      </c>
      <c r="K66" s="13">
        <f t="shared" ca="1" si="11"/>
        <v>208.88326955070249</v>
      </c>
      <c r="L66" s="13">
        <f t="shared" ca="1" si="11"/>
        <v>495.80444094784485</v>
      </c>
      <c r="M66" s="13">
        <f t="shared" ca="1" si="11"/>
        <v>581.64172900692245</v>
      </c>
      <c r="N66" s="13">
        <f t="shared" ca="1" si="11"/>
        <v>662.0132164823915</v>
      </c>
      <c r="O66" s="13">
        <f t="shared" ca="1" si="11"/>
        <v>748.72646440499079</v>
      </c>
    </row>
    <row r="67" spans="1:55" s="25" customFormat="1" x14ac:dyDescent="0.2">
      <c r="B67" s="335" t="s">
        <v>415</v>
      </c>
      <c r="C67" s="335"/>
      <c r="D67" s="336" t="s">
        <v>177</v>
      </c>
      <c r="E67" s="218">
        <f ca="1">+Valuation!$D$99</f>
        <v>4491.66399</v>
      </c>
      <c r="F67" s="335"/>
      <c r="G67" s="335"/>
      <c r="H67" s="30">
        <f t="shared" ref="H67:O67" ca="1" si="12">+H66/$E67</f>
        <v>-4.7618670488487162E-3</v>
      </c>
      <c r="I67" s="30">
        <f t="shared" ca="1" si="12"/>
        <v>1.0062952112479501E-2</v>
      </c>
      <c r="J67" s="30">
        <f t="shared" ca="1" si="12"/>
        <v>1.7371698712356702E-3</v>
      </c>
      <c r="K67" s="30">
        <f t="shared" ca="1" si="12"/>
        <v>4.6504651731685408E-2</v>
      </c>
      <c r="L67" s="30">
        <f t="shared" ca="1" si="12"/>
        <v>0.11038324372697453</v>
      </c>
      <c r="M67" s="30">
        <f t="shared" ca="1" si="12"/>
        <v>0.12949359754021192</v>
      </c>
      <c r="N67" s="30">
        <f t="shared" ca="1" si="12"/>
        <v>0.14738707480262597</v>
      </c>
      <c r="O67" s="30">
        <f t="shared" ca="1" si="12"/>
        <v>0.16669244762562721</v>
      </c>
      <c r="P67" s="335"/>
      <c r="Q67" s="335"/>
    </row>
    <row r="68" spans="1:55" s="25" customFormat="1" x14ac:dyDescent="0.2">
      <c r="B68" s="335"/>
      <c r="C68" s="335"/>
      <c r="D68" s="335"/>
      <c r="E68" s="337"/>
      <c r="F68" s="335"/>
      <c r="G68" s="335"/>
      <c r="H68" s="30"/>
      <c r="I68" s="30"/>
      <c r="J68" s="30"/>
      <c r="K68" s="30"/>
      <c r="L68" s="30"/>
      <c r="M68" s="30"/>
      <c r="N68" s="30"/>
      <c r="O68" s="30"/>
      <c r="P68" s="335"/>
      <c r="Q68" s="335"/>
    </row>
    <row r="69" spans="1:55" x14ac:dyDescent="0.2">
      <c r="B69" s="338" t="s">
        <v>471</v>
      </c>
      <c r="C69" s="339"/>
      <c r="D69" s="340" t="s">
        <v>187</v>
      </c>
      <c r="E69" s="23"/>
      <c r="F69" s="339"/>
      <c r="G69" s="339"/>
      <c r="H69" s="31"/>
      <c r="I69" s="24"/>
      <c r="J69" s="24">
        <f ca="1">+SUMIFS(Valuation!$28:$28,Valuation!$6:$6,Summary!J$3)</f>
        <v>0</v>
      </c>
      <c r="K69" s="24">
        <f ca="1">+SUMIFS(Valuation!$28:$28,Valuation!$6:$6,Summary!K$3)</f>
        <v>0</v>
      </c>
      <c r="L69" s="24">
        <f ca="1">+SUMIFS(Valuation!$28:$28,Valuation!$6:$6,Summary!L$3)</f>
        <v>0</v>
      </c>
      <c r="M69" s="24">
        <f ca="1">+SUMIFS(Valuation!$28:$28,Valuation!$6:$6,Summary!M$3)</f>
        <v>0</v>
      </c>
      <c r="N69" s="24">
        <f ca="1">+SUMIFS(Valuation!$28:$28,Valuation!$6:$6,Summary!N$3)</f>
        <v>0</v>
      </c>
      <c r="O69" s="24">
        <f ca="1">+SUMIFS(Valuation!$28:$28,Valuation!$6:$6,Summary!O$3)</f>
        <v>8117.7711403909525</v>
      </c>
      <c r="P69" s="339"/>
      <c r="Q69" s="339"/>
    </row>
    <row r="70" spans="1:55" s="25" customFormat="1" x14ac:dyDescent="0.2">
      <c r="B70" s="335"/>
      <c r="C70" s="335"/>
      <c r="D70" s="335"/>
      <c r="E70" s="337"/>
      <c r="F70" s="335"/>
      <c r="G70" s="335"/>
      <c r="H70" s="30"/>
      <c r="I70" s="30"/>
      <c r="J70" s="30"/>
      <c r="K70" s="30"/>
      <c r="L70" s="30"/>
      <c r="M70" s="30"/>
      <c r="N70" s="30"/>
      <c r="O70" s="30"/>
      <c r="P70" s="335"/>
      <c r="Q70" s="335"/>
    </row>
    <row r="71" spans="1:55" s="25" customFormat="1" x14ac:dyDescent="0.2">
      <c r="B71" s="339" t="s">
        <v>469</v>
      </c>
      <c r="C71" s="335"/>
      <c r="D71" s="340" t="s">
        <v>187</v>
      </c>
      <c r="E71" s="337"/>
      <c r="F71" s="335"/>
      <c r="G71" s="335"/>
      <c r="H71" s="30"/>
      <c r="I71" s="30"/>
      <c r="J71" s="23">
        <f ca="1">+SUMIFS(Valuation!49:49,Valuation!$6:$6,Summary!J$3)</f>
        <v>33.084333618586342</v>
      </c>
      <c r="K71" s="23">
        <f ca="1">+SUMIFS(Valuation!49:49,Valuation!$6:$6,Summary!K$3)</f>
        <v>83.29398921168098</v>
      </c>
      <c r="L71" s="23">
        <f ca="1">+SUMIFS(Valuation!49:49,Valuation!$6:$6,Summary!L$3)</f>
        <v>181.91191344067539</v>
      </c>
      <c r="M71" s="23">
        <f ca="1">+SUMIFS(Valuation!49:49,Valuation!$6:$6,Summary!M$3)</f>
        <v>176.25698654603889</v>
      </c>
      <c r="N71" s="23">
        <f ca="1">+SUMIFS(Valuation!49:49,Valuation!$6:$6,Summary!N$3)</f>
        <v>176.61862010087171</v>
      </c>
      <c r="O71" s="23">
        <f ca="1">+SUMIFS(Valuation!49:49,Valuation!$6:$6,Summary!O$3)</f>
        <v>1635.1168067490551</v>
      </c>
      <c r="P71" s="335"/>
      <c r="Q71" s="335"/>
    </row>
    <row r="72" spans="1:55" s="25" customFormat="1" x14ac:dyDescent="0.2">
      <c r="B72" s="339" t="s">
        <v>470</v>
      </c>
      <c r="C72" s="335"/>
      <c r="D72" s="340" t="s">
        <v>187</v>
      </c>
      <c r="E72" s="337"/>
      <c r="F72" s="335"/>
      <c r="G72" s="335"/>
      <c r="H72" s="30"/>
      <c r="I72" s="30"/>
      <c r="J72" s="23">
        <f ca="1">+SUMIFS(Valuation!51:51,Valuation!$6:$6,Summary!J$3)</f>
        <v>30.94744769968667</v>
      </c>
      <c r="K72" s="23">
        <f ca="1">+SUMIFS(Valuation!51:51,Valuation!$6:$6,Summary!K$3)</f>
        <v>95.658312712408218</v>
      </c>
      <c r="L72" s="23">
        <f ca="1">+SUMIFS(Valuation!51:51,Valuation!$6:$6,Summary!L$3)</f>
        <v>200.21976638855887</v>
      </c>
      <c r="M72" s="23">
        <f ca="1">+SUMIFS(Valuation!51:51,Valuation!$6:$6,Summary!M$3)</f>
        <v>221.86530305459814</v>
      </c>
      <c r="N72" s="23">
        <f ca="1">+SUMIFS(Valuation!51:51,Valuation!$6:$6,Summary!N$3)</f>
        <v>227.01036951325489</v>
      </c>
      <c r="O72" s="23">
        <f ca="1">+SUMIFS(Valuation!51:51,Valuation!$6:$6,Summary!O$3)</f>
        <v>2871.603243724343</v>
      </c>
      <c r="P72" s="335"/>
      <c r="Q72" s="335"/>
    </row>
    <row r="73" spans="1:55" s="25" customFormat="1" x14ac:dyDescent="0.2">
      <c r="B73" s="339"/>
      <c r="C73" s="335"/>
      <c r="D73" s="340"/>
      <c r="E73" s="337"/>
      <c r="F73" s="335"/>
      <c r="G73" s="335"/>
      <c r="H73" s="30"/>
      <c r="I73" s="30"/>
      <c r="J73" s="23"/>
      <c r="K73" s="23"/>
      <c r="L73" s="23"/>
      <c r="M73" s="23"/>
      <c r="N73" s="23"/>
      <c r="O73" s="23"/>
      <c r="P73" s="335"/>
      <c r="Q73" s="335"/>
    </row>
    <row r="74" spans="1:55" x14ac:dyDescent="0.2">
      <c r="B74" s="339" t="s">
        <v>359</v>
      </c>
      <c r="C74" s="339"/>
      <c r="D74" s="340" t="s">
        <v>474</v>
      </c>
      <c r="E74" s="23"/>
      <c r="F74" s="339"/>
      <c r="G74" s="339"/>
      <c r="H74" s="31"/>
      <c r="I74" s="31"/>
      <c r="J74" s="257">
        <f ca="1">+Valuation!D15</f>
        <v>7.4999999999999997E-2</v>
      </c>
      <c r="K74" s="31"/>
      <c r="L74" s="31"/>
      <c r="M74" s="339"/>
      <c r="N74" s="31" t="s">
        <v>340</v>
      </c>
      <c r="O74" s="341">
        <f ca="1">+SharePrice</f>
        <v>6</v>
      </c>
      <c r="P74" s="339"/>
      <c r="Q74" s="339"/>
    </row>
    <row r="75" spans="1:55" x14ac:dyDescent="0.2">
      <c r="B75" s="339" t="s">
        <v>360</v>
      </c>
      <c r="C75" s="339"/>
      <c r="D75" s="340" t="s">
        <v>474</v>
      </c>
      <c r="E75" s="23"/>
      <c r="F75" s="339"/>
      <c r="G75" s="339"/>
      <c r="H75" s="31"/>
      <c r="I75" s="31"/>
      <c r="J75" s="257">
        <f ca="1">+Valuation!D16</f>
        <v>0.15</v>
      </c>
      <c r="K75" s="31"/>
      <c r="L75" s="31"/>
      <c r="M75" s="339"/>
      <c r="N75" s="31" t="s">
        <v>443</v>
      </c>
      <c r="O75" s="341">
        <f ca="1">+Valuation!D60</f>
        <v>7.9261321941756702</v>
      </c>
      <c r="P75" s="339"/>
      <c r="Q75" s="339"/>
    </row>
    <row r="76" spans="1:55" s="25" customFormat="1" x14ac:dyDescent="0.2">
      <c r="B76" s="339" t="s">
        <v>472</v>
      </c>
      <c r="C76" s="335"/>
      <c r="D76" s="340" t="s">
        <v>177</v>
      </c>
      <c r="E76" s="337"/>
      <c r="F76" s="335"/>
      <c r="G76" s="335"/>
      <c r="H76" s="30"/>
      <c r="I76" s="30"/>
      <c r="J76" s="257">
        <f ca="1">+Valuation!$D$63</f>
        <v>0.12436657547950744</v>
      </c>
      <c r="K76" s="30"/>
      <c r="L76" s="30"/>
      <c r="M76" s="335"/>
      <c r="N76" s="342" t="s">
        <v>208</v>
      </c>
      <c r="O76" s="342">
        <f ca="1">+O75/O74-1</f>
        <v>0.32102203236261162</v>
      </c>
      <c r="P76" s="335"/>
      <c r="Q76" s="335"/>
    </row>
    <row r="77" spans="1:55" s="25" customFormat="1" x14ac:dyDescent="0.2">
      <c r="B77" s="335"/>
      <c r="C77" s="335"/>
      <c r="D77" s="335"/>
      <c r="E77" s="337"/>
      <c r="F77" s="335"/>
      <c r="G77" s="335"/>
      <c r="H77" s="30"/>
      <c r="I77" s="30"/>
      <c r="J77" s="30"/>
      <c r="K77" s="30"/>
      <c r="L77" s="30"/>
      <c r="M77" s="30"/>
      <c r="N77" s="30"/>
      <c r="O77" s="30"/>
      <c r="P77" s="335"/>
      <c r="Q77" s="335"/>
    </row>
    <row r="78" spans="1:55" s="35" customFormat="1" x14ac:dyDescent="0.2">
      <c r="A78" s="1" t="s">
        <v>75</v>
      </c>
      <c r="B78" s="343" t="s">
        <v>476</v>
      </c>
      <c r="C78" s="343"/>
      <c r="D78" s="343"/>
      <c r="E78" s="343"/>
      <c r="F78" s="343"/>
      <c r="G78" s="343"/>
      <c r="H78" s="343"/>
      <c r="I78" s="343"/>
      <c r="J78" s="344"/>
      <c r="K78" s="344"/>
      <c r="L78" s="343"/>
      <c r="M78" s="343"/>
      <c r="N78" s="343"/>
      <c r="O78" s="343"/>
      <c r="P78" s="343"/>
      <c r="Q78" s="343"/>
      <c r="R78" s="36"/>
      <c r="S78" s="36"/>
      <c r="T78" s="36"/>
      <c r="U78" s="36"/>
      <c r="V78" s="36"/>
      <c r="W78" s="36"/>
      <c r="X78" s="36"/>
      <c r="Y78" s="36"/>
      <c r="BC78" s="90"/>
    </row>
    <row r="79" spans="1:55" x14ac:dyDescent="0.2">
      <c r="B79" s="339" t="s">
        <v>444</v>
      </c>
      <c r="C79" s="339"/>
      <c r="D79" s="340" t="s">
        <v>199</v>
      </c>
      <c r="E79" s="339"/>
      <c r="F79" s="339"/>
      <c r="G79" s="339"/>
      <c r="H79" s="202" t="s">
        <v>147</v>
      </c>
      <c r="I79" s="162">
        <v>9.3000000000000007</v>
      </c>
      <c r="J79" s="162">
        <f ca="1">+SUMIFS(Valuation!$114:$114,Valuation!$6:$6,Summary!J$3)</f>
        <v>8.4573504477860766</v>
      </c>
      <c r="K79" s="162">
        <f ca="1">+SUMIFS(Valuation!$114:$114,Valuation!$6:$6,Summary!K$3)</f>
        <v>7.7549138812377487</v>
      </c>
      <c r="L79" s="162">
        <f ca="1">+SUMIFS(Valuation!$114:$114,Valuation!$6:$6,Summary!L$3)</f>
        <v>6.9547377450256453</v>
      </c>
      <c r="M79" s="162">
        <f ca="1">+SUMIFS(Valuation!$114:$114,Valuation!$6:$6,Summary!M$3)</f>
        <v>6.2981304060982728</v>
      </c>
      <c r="N79" s="162">
        <f ca="1">+SUMIFS(Valuation!$114:$114,Valuation!$6:$6,Summary!N$3)</f>
        <v>5.7722597809651042</v>
      </c>
      <c r="O79" s="162">
        <f ca="1">+SUMIFS(Valuation!$114:$114,Valuation!$6:$6,Summary!O$3)</f>
        <v>5.2103231567637662</v>
      </c>
      <c r="P79" s="339"/>
      <c r="Q79" s="339"/>
    </row>
    <row r="80" spans="1:55" s="25" customFormat="1" x14ac:dyDescent="0.2">
      <c r="B80" s="335"/>
      <c r="C80" s="335"/>
      <c r="D80" s="335"/>
      <c r="E80" s="337"/>
      <c r="F80" s="335"/>
      <c r="G80" s="335"/>
      <c r="H80" s="30"/>
      <c r="I80" s="30"/>
      <c r="J80" s="30"/>
      <c r="K80" s="30"/>
      <c r="L80" s="30"/>
      <c r="M80" s="30"/>
      <c r="N80" s="30"/>
      <c r="O80" s="30"/>
      <c r="P80" s="335"/>
      <c r="Q80" s="335"/>
    </row>
    <row r="81" spans="1:55" s="3" customFormat="1" x14ac:dyDescent="0.2">
      <c r="A81" s="17" t="s">
        <v>75</v>
      </c>
      <c r="B81" s="345" t="s">
        <v>414</v>
      </c>
      <c r="C81" s="345"/>
      <c r="D81" s="345"/>
      <c r="E81" s="345"/>
      <c r="F81" s="345"/>
      <c r="G81" s="345"/>
      <c r="H81" s="345"/>
      <c r="I81" s="345"/>
      <c r="J81" s="345"/>
      <c r="K81" s="345"/>
      <c r="L81" s="345"/>
      <c r="M81" s="345"/>
      <c r="N81" s="345"/>
      <c r="O81" s="345"/>
      <c r="P81" s="345"/>
      <c r="Q81" s="345"/>
      <c r="BC81" s="87" t="s">
        <v>75</v>
      </c>
    </row>
    <row r="82" spans="1:55" x14ac:dyDescent="0.2">
      <c r="B82" s="339" t="s">
        <v>140</v>
      </c>
      <c r="C82" s="339"/>
      <c r="D82" s="340" t="s">
        <v>164</v>
      </c>
      <c r="E82" s="339"/>
      <c r="F82" s="339"/>
      <c r="G82" s="339"/>
      <c r="H82" s="23">
        <f t="shared" ref="H82:O87" ca="1" si="13">+H60/H$9</f>
        <v>116.89331302376576</v>
      </c>
      <c r="I82" s="23">
        <f t="shared" ca="1" si="13"/>
        <v>123.56726368160602</v>
      </c>
      <c r="J82" s="23">
        <f t="shared" ca="1" si="13"/>
        <v>139.77663676084759</v>
      </c>
      <c r="K82" s="23">
        <f t="shared" ca="1" si="13"/>
        <v>160.96504638965257</v>
      </c>
      <c r="L82" s="23">
        <f t="shared" ca="1" si="13"/>
        <v>168.43513000608058</v>
      </c>
      <c r="M82" s="23">
        <f t="shared" ca="1" si="13"/>
        <v>185.49533604176526</v>
      </c>
      <c r="N82" s="23">
        <f t="shared" ca="1" si="13"/>
        <v>200.59170907890015</v>
      </c>
      <c r="O82" s="23">
        <f t="shared" ca="1" si="13"/>
        <v>216.14978909886278</v>
      </c>
      <c r="P82" s="339"/>
      <c r="Q82" s="339"/>
    </row>
    <row r="83" spans="1:55" x14ac:dyDescent="0.2">
      <c r="B83" s="339" t="s">
        <v>363</v>
      </c>
      <c r="C83" s="339"/>
      <c r="D83" s="340" t="s">
        <v>164</v>
      </c>
      <c r="E83" s="339"/>
      <c r="F83" s="339"/>
      <c r="G83" s="339"/>
      <c r="H83" s="23">
        <f t="shared" ca="1" si="13"/>
        <v>-43.15716914028107</v>
      </c>
      <c r="I83" s="23">
        <f t="shared" ca="1" si="13"/>
        <v>-48.663995125563424</v>
      </c>
      <c r="J83" s="23">
        <f t="shared" ca="1" si="13"/>
        <v>-38.536167976529022</v>
      </c>
      <c r="K83" s="23">
        <f t="shared" ca="1" si="13"/>
        <v>-33.132869083355857</v>
      </c>
      <c r="L83" s="23">
        <f t="shared" ca="1" si="13"/>
        <v>-32.678718540637448</v>
      </c>
      <c r="M83" s="23">
        <f t="shared" ca="1" si="13"/>
        <v>-32.539407298811362</v>
      </c>
      <c r="N83" s="23">
        <f t="shared" ca="1" si="13"/>
        <v>-32.400104960926647</v>
      </c>
      <c r="O83" s="23">
        <f t="shared" ca="1" si="13"/>
        <v>-32.260811351972585</v>
      </c>
      <c r="P83" s="339"/>
      <c r="Q83" s="339"/>
    </row>
    <row r="84" spans="1:55" x14ac:dyDescent="0.2">
      <c r="B84" s="339" t="s">
        <v>364</v>
      </c>
      <c r="C84" s="339"/>
      <c r="D84" s="340" t="s">
        <v>164</v>
      </c>
      <c r="E84" s="339"/>
      <c r="F84" s="339"/>
      <c r="G84" s="339"/>
      <c r="H84" s="23">
        <f t="shared" ca="1" si="13"/>
        <v>-10.262464315708144</v>
      </c>
      <c r="I84" s="23">
        <f t="shared" ca="1" si="13"/>
        <v>-13.238919040736226</v>
      </c>
      <c r="J84" s="23">
        <f t="shared" ca="1" si="13"/>
        <v>-14.610612863711278</v>
      </c>
      <c r="K84" s="23">
        <f t="shared" ca="1" si="13"/>
        <v>-21.086256250171274</v>
      </c>
      <c r="L84" s="23">
        <f t="shared" ca="1" si="13"/>
        <v>-22.97528012767437</v>
      </c>
      <c r="M84" s="23">
        <f t="shared" ca="1" si="13"/>
        <v>-27.293360609317411</v>
      </c>
      <c r="N84" s="23">
        <f t="shared" ca="1" si="13"/>
        <v>-31.119129432289618</v>
      </c>
      <c r="O84" s="23">
        <f t="shared" ca="1" si="13"/>
        <v>-35.059852184787182</v>
      </c>
      <c r="P84" s="339"/>
      <c r="Q84" s="339"/>
    </row>
    <row r="85" spans="1:55" x14ac:dyDescent="0.2">
      <c r="B85" s="339" t="s">
        <v>367</v>
      </c>
      <c r="C85" s="339"/>
      <c r="D85" s="340" t="s">
        <v>164</v>
      </c>
      <c r="E85" s="339"/>
      <c r="F85" s="339"/>
      <c r="G85" s="339"/>
      <c r="H85" s="23">
        <f t="shared" ca="1" si="13"/>
        <v>-44.073218996256287</v>
      </c>
      <c r="I85" s="23">
        <f t="shared" ca="1" si="13"/>
        <v>18.931822886781227</v>
      </c>
      <c r="J85" s="23">
        <f t="shared" ca="1" si="13"/>
        <v>4.022858794777652</v>
      </c>
      <c r="K85" s="23">
        <f t="shared" ca="1" si="13"/>
        <v>-1.2486893352552386</v>
      </c>
      <c r="L85" s="23">
        <f t="shared" ca="1" si="13"/>
        <v>-0.84849661729331904</v>
      </c>
      <c r="M85" s="23">
        <f t="shared" ca="1" si="13"/>
        <v>-0.91632342068074379</v>
      </c>
      <c r="N85" s="23">
        <f t="shared" ca="1" si="13"/>
        <v>-0.99021662643062713</v>
      </c>
      <c r="O85" s="23">
        <f t="shared" ca="1" si="13"/>
        <v>-1.0326602579420592</v>
      </c>
      <c r="P85" s="339"/>
      <c r="Q85" s="339"/>
    </row>
    <row r="86" spans="1:55" x14ac:dyDescent="0.2">
      <c r="B86" s="339" t="s">
        <v>368</v>
      </c>
      <c r="C86" s="339"/>
      <c r="D86" s="340" t="s">
        <v>164</v>
      </c>
      <c r="E86" s="339"/>
      <c r="F86" s="339"/>
      <c r="G86" s="339"/>
      <c r="H86" s="23">
        <f t="shared" ca="1" si="13"/>
        <v>-24.344003531925157</v>
      </c>
      <c r="I86" s="23">
        <f t="shared" ca="1" si="13"/>
        <v>-49.126352125931795</v>
      </c>
      <c r="J86" s="23">
        <f t="shared" ca="1" si="13"/>
        <v>-89.259765490478912</v>
      </c>
      <c r="K86" s="23">
        <f t="shared" ca="1" si="13"/>
        <v>-69.30539037390011</v>
      </c>
      <c r="L86" s="23">
        <f t="shared" ca="1" si="13"/>
        <v>-27.716328879818892</v>
      </c>
      <c r="M86" s="23">
        <f t="shared" ca="1" si="13"/>
        <v>-27.891682299525801</v>
      </c>
      <c r="N86" s="23">
        <f t="shared" ca="1" si="13"/>
        <v>-28.011066902112923</v>
      </c>
      <c r="O86" s="23">
        <f t="shared" ca="1" si="13"/>
        <v>-27.972078750276971</v>
      </c>
      <c r="P86" s="339"/>
      <c r="Q86" s="339"/>
    </row>
    <row r="87" spans="1:55" x14ac:dyDescent="0.2">
      <c r="B87" s="339" t="s">
        <v>370</v>
      </c>
      <c r="C87" s="339"/>
      <c r="D87" s="340" t="s">
        <v>164</v>
      </c>
      <c r="E87" s="339"/>
      <c r="F87" s="339"/>
      <c r="G87" s="339"/>
      <c r="H87" s="23">
        <f t="shared" ca="1" si="13"/>
        <v>-0.47971245703433524</v>
      </c>
      <c r="I87" s="23">
        <f t="shared" ca="1" si="13"/>
        <v>-22.707447599223272</v>
      </c>
      <c r="J87" s="23">
        <f t="shared" ca="1" si="13"/>
        <v>0</v>
      </c>
      <c r="K87" s="23">
        <f t="shared" ca="1" si="13"/>
        <v>0</v>
      </c>
      <c r="L87" s="23">
        <f t="shared" ca="1" si="13"/>
        <v>0</v>
      </c>
      <c r="M87" s="23">
        <f t="shared" ca="1" si="13"/>
        <v>0</v>
      </c>
      <c r="N87" s="23">
        <f t="shared" ca="1" si="13"/>
        <v>0</v>
      </c>
      <c r="O87" s="23">
        <f t="shared" ca="1" si="13"/>
        <v>0</v>
      </c>
      <c r="P87" s="339"/>
      <c r="Q87" s="339"/>
    </row>
    <row r="88" spans="1:55" x14ac:dyDescent="0.2">
      <c r="B88" s="346" t="s">
        <v>369</v>
      </c>
      <c r="C88" s="346"/>
      <c r="D88" s="347" t="s">
        <v>164</v>
      </c>
      <c r="E88" s="339"/>
      <c r="F88" s="339"/>
      <c r="G88" s="339"/>
      <c r="H88" s="24">
        <f t="shared" ref="H88:O88" ca="1" si="14">+SUM(H82:H87)</f>
        <v>-5.4232554174392362</v>
      </c>
      <c r="I88" s="24">
        <f t="shared" ca="1" si="14"/>
        <v>8.7623726769325359</v>
      </c>
      <c r="J88" s="24">
        <f t="shared" ca="1" si="14"/>
        <v>1.3929492249060331</v>
      </c>
      <c r="K88" s="24">
        <f t="shared" ca="1" si="14"/>
        <v>36.191841346970094</v>
      </c>
      <c r="L88" s="24">
        <f t="shared" ca="1" si="14"/>
        <v>84.21630584065656</v>
      </c>
      <c r="M88" s="24">
        <f t="shared" ca="1" si="14"/>
        <v>96.854562413429946</v>
      </c>
      <c r="N88" s="24">
        <f t="shared" ca="1" si="14"/>
        <v>108.07119115714033</v>
      </c>
      <c r="O88" s="24">
        <f t="shared" ca="1" si="14"/>
        <v>119.82438655388395</v>
      </c>
      <c r="P88" s="339"/>
      <c r="Q88" s="339"/>
    </row>
    <row r="89" spans="1:55" x14ac:dyDescent="0.2"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</row>
    <row r="90" spans="1:55" x14ac:dyDescent="0.2">
      <c r="B90" s="339"/>
      <c r="C90" s="339"/>
      <c r="D90" s="339"/>
      <c r="E90" s="339"/>
      <c r="F90" s="339"/>
      <c r="G90" s="339"/>
      <c r="H90" s="339"/>
      <c r="I90" s="339"/>
      <c r="J90" s="339"/>
      <c r="K90" s="339"/>
      <c r="L90" s="339"/>
      <c r="M90" s="339"/>
      <c r="N90" s="339"/>
      <c r="O90" s="339"/>
      <c r="P90" s="339"/>
      <c r="Q90" s="339"/>
    </row>
    <row r="91" spans="1:55" x14ac:dyDescent="0.2">
      <c r="B91" s="339"/>
      <c r="C91" s="339"/>
      <c r="D91" s="339"/>
      <c r="E91" s="339"/>
      <c r="F91" s="339"/>
      <c r="G91" s="339"/>
      <c r="H91" s="339"/>
      <c r="I91" s="339"/>
      <c r="J91" s="339"/>
      <c r="K91" s="339"/>
      <c r="L91" s="339"/>
      <c r="M91" s="339"/>
      <c r="N91" s="339"/>
      <c r="O91" s="339"/>
      <c r="P91" s="339"/>
      <c r="Q91" s="339"/>
    </row>
    <row r="92" spans="1:55" x14ac:dyDescent="0.2">
      <c r="B92" s="339"/>
      <c r="C92" s="339"/>
      <c r="D92" s="339"/>
      <c r="E92" s="339"/>
      <c r="F92" s="339"/>
      <c r="G92" s="339"/>
      <c r="H92" s="339"/>
      <c r="I92" s="339"/>
      <c r="J92" s="339"/>
      <c r="K92" s="339"/>
      <c r="L92" s="339"/>
      <c r="M92" s="339"/>
      <c r="N92" s="339"/>
      <c r="O92" s="339"/>
      <c r="P92" s="339"/>
      <c r="Q92" s="339"/>
    </row>
  </sheetData>
  <conditionalFormatting sqref="D1">
    <cfRule type="cellIs" dxfId="55" priority="2" operator="equal">
      <formula>"OK"</formula>
    </cfRule>
  </conditionalFormatting>
  <conditionalFormatting sqref="D1">
    <cfRule type="cellIs" dxfId="54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CD409-3C1B-45B5-BF22-A944B335A593}">
  <sheetPr>
    <tabColor rgb="FF00B0F0"/>
  </sheetPr>
  <dimension ref="A1:BK121"/>
  <sheetViews>
    <sheetView zoomScale="85" zoomScaleNormal="85" workbookViewId="0">
      <pane xSplit="4" ySplit="3" topLeftCell="E4" activePane="bottomRight" state="frozen"/>
      <selection activeCell="F32" sqref="F32:G32"/>
      <selection pane="topRight" activeCell="F32" sqref="F32:G32"/>
      <selection pane="bottomLeft" activeCell="F32" sqref="F32:G32"/>
      <selection pane="bottomRight"/>
    </sheetView>
  </sheetViews>
  <sheetFormatPr defaultRowHeight="12.75" outlineLevelRow="1" x14ac:dyDescent="0.2"/>
  <cols>
    <col min="1" max="1" width="2.42578125" style="1" customWidth="1"/>
    <col min="2" max="2" width="33" style="1" customWidth="1"/>
    <col min="3" max="28" width="9.140625" style="1"/>
    <col min="29" max="29" width="3.42578125" style="8" customWidth="1"/>
    <col min="30" max="16384" width="9.140625" style="1"/>
  </cols>
  <sheetData>
    <row r="1" spans="1:29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  <c r="AC1" s="160"/>
    </row>
    <row r="2" spans="1:29" s="5" customFormat="1" ht="16.5" x14ac:dyDescent="0.3">
      <c r="A2" s="6" t="s">
        <v>353</v>
      </c>
      <c r="D2" s="211">
        <f ca="1">+Ctrl!G10</f>
        <v>0.32102203236261162</v>
      </c>
      <c r="AC2" s="161"/>
    </row>
    <row r="3" spans="1:29" x14ac:dyDescent="0.2">
      <c r="A3" s="1" t="s">
        <v>1</v>
      </c>
      <c r="E3" s="47" t="str">
        <f ca="1">+Ctrl!G14</f>
        <v>1Q21</v>
      </c>
      <c r="F3" s="8" t="str">
        <f t="shared" ref="F3:AB3" ca="1" si="0">+MONTH(F5)/3&amp;"Q"&amp;RIGHT(YEAR(F5),2)</f>
        <v>2Q21</v>
      </c>
      <c r="G3" s="8" t="str">
        <f t="shared" ca="1" si="0"/>
        <v>3Q21</v>
      </c>
      <c r="H3" s="8" t="str">
        <f t="shared" ca="1" si="0"/>
        <v>4Q21</v>
      </c>
      <c r="I3" s="8" t="str">
        <f t="shared" ca="1" si="0"/>
        <v>1Q22</v>
      </c>
      <c r="J3" s="8" t="str">
        <f t="shared" ca="1" si="0"/>
        <v>2Q22</v>
      </c>
      <c r="K3" s="8" t="str">
        <f t="shared" ca="1" si="0"/>
        <v>3Q22</v>
      </c>
      <c r="L3" s="8" t="str">
        <f t="shared" ca="1" si="0"/>
        <v>4Q22</v>
      </c>
      <c r="M3" s="8" t="str">
        <f t="shared" ca="1" si="0"/>
        <v>1Q23</v>
      </c>
      <c r="N3" s="8" t="str">
        <f t="shared" ca="1" si="0"/>
        <v>2Q23</v>
      </c>
      <c r="O3" s="8" t="str">
        <f t="shared" ca="1" si="0"/>
        <v>3Q23</v>
      </c>
      <c r="P3" s="8" t="str">
        <f t="shared" ca="1" si="0"/>
        <v>4Q23</v>
      </c>
      <c r="Q3" s="8" t="str">
        <f t="shared" ca="1" si="0"/>
        <v>1Q24</v>
      </c>
      <c r="R3" s="8" t="str">
        <f t="shared" ca="1" si="0"/>
        <v>2Q24</v>
      </c>
      <c r="S3" s="8" t="str">
        <f t="shared" ca="1" si="0"/>
        <v>3Q24</v>
      </c>
      <c r="T3" s="8" t="str">
        <f t="shared" ca="1" si="0"/>
        <v>4Q24</v>
      </c>
      <c r="U3" s="8" t="str">
        <f t="shared" ca="1" si="0"/>
        <v>1Q25</v>
      </c>
      <c r="V3" s="8" t="str">
        <f t="shared" ca="1" si="0"/>
        <v>2Q25</v>
      </c>
      <c r="W3" s="8" t="str">
        <f t="shared" ca="1" si="0"/>
        <v>3Q25</v>
      </c>
      <c r="X3" s="8" t="str">
        <f t="shared" ca="1" si="0"/>
        <v>4Q25</v>
      </c>
      <c r="Y3" s="8" t="str">
        <f t="shared" ca="1" si="0"/>
        <v>1Q26</v>
      </c>
      <c r="Z3" s="8" t="str">
        <f t="shared" ca="1" si="0"/>
        <v>2Q26</v>
      </c>
      <c r="AA3" s="8" t="str">
        <f t="shared" ca="1" si="0"/>
        <v>3Q26</v>
      </c>
      <c r="AB3" s="8" t="str">
        <f t="shared" ca="1" si="0"/>
        <v>4Q26</v>
      </c>
      <c r="AC3" s="8" t="s">
        <v>75</v>
      </c>
    </row>
    <row r="4" spans="1:29" outlineLevel="1" x14ac:dyDescent="0.2">
      <c r="A4" s="1" t="s">
        <v>2</v>
      </c>
      <c r="E4" s="10"/>
      <c r="F4" s="7">
        <f t="shared" ref="F4:AB4" ca="1" si="1">+E5+1</f>
        <v>44287</v>
      </c>
      <c r="G4" s="7">
        <f t="shared" ca="1" si="1"/>
        <v>44378</v>
      </c>
      <c r="H4" s="7">
        <f t="shared" ca="1" si="1"/>
        <v>44470</v>
      </c>
      <c r="I4" s="7">
        <f t="shared" ca="1" si="1"/>
        <v>44562</v>
      </c>
      <c r="J4" s="7">
        <f t="shared" ca="1" si="1"/>
        <v>44652</v>
      </c>
      <c r="K4" s="7">
        <f t="shared" ca="1" si="1"/>
        <v>44743</v>
      </c>
      <c r="L4" s="7">
        <f t="shared" ca="1" si="1"/>
        <v>44835</v>
      </c>
      <c r="M4" s="7">
        <f t="shared" ca="1" si="1"/>
        <v>44927</v>
      </c>
      <c r="N4" s="7">
        <f t="shared" ca="1" si="1"/>
        <v>45017</v>
      </c>
      <c r="O4" s="7">
        <f t="shared" ca="1" si="1"/>
        <v>45108</v>
      </c>
      <c r="P4" s="7">
        <f t="shared" ca="1" si="1"/>
        <v>45200</v>
      </c>
      <c r="Q4" s="7">
        <f t="shared" ca="1" si="1"/>
        <v>45292</v>
      </c>
      <c r="R4" s="7">
        <f t="shared" ca="1" si="1"/>
        <v>45383</v>
      </c>
      <c r="S4" s="7">
        <f t="shared" ca="1" si="1"/>
        <v>45474</v>
      </c>
      <c r="T4" s="7">
        <f t="shared" ca="1" si="1"/>
        <v>45566</v>
      </c>
      <c r="U4" s="7">
        <f t="shared" ca="1" si="1"/>
        <v>45658</v>
      </c>
      <c r="V4" s="7">
        <f t="shared" ca="1" si="1"/>
        <v>45748</v>
      </c>
      <c r="W4" s="7">
        <f t="shared" ca="1" si="1"/>
        <v>45839</v>
      </c>
      <c r="X4" s="7">
        <f t="shared" ca="1" si="1"/>
        <v>45931</v>
      </c>
      <c r="Y4" s="7">
        <f t="shared" ca="1" si="1"/>
        <v>46023</v>
      </c>
      <c r="Z4" s="7">
        <f t="shared" ca="1" si="1"/>
        <v>46113</v>
      </c>
      <c r="AA4" s="7">
        <f t="shared" ca="1" si="1"/>
        <v>46204</v>
      </c>
      <c r="AB4" s="7">
        <f t="shared" ca="1" si="1"/>
        <v>46296</v>
      </c>
      <c r="AC4" s="8" t="s">
        <v>75</v>
      </c>
    </row>
    <row r="5" spans="1:29" outlineLevel="1" x14ac:dyDescent="0.2">
      <c r="A5" s="1" t="s">
        <v>3</v>
      </c>
      <c r="E5" s="189">
        <f ca="1">+Ctrl!$G$15</f>
        <v>44286</v>
      </c>
      <c r="F5" s="7">
        <f t="shared" ref="F5:AB5" ca="1" si="2">+EOMONTH(F4,2)</f>
        <v>44377</v>
      </c>
      <c r="G5" s="7">
        <f t="shared" ca="1" si="2"/>
        <v>44469</v>
      </c>
      <c r="H5" s="7">
        <f t="shared" ca="1" si="2"/>
        <v>44561</v>
      </c>
      <c r="I5" s="7">
        <f t="shared" ca="1" si="2"/>
        <v>44651</v>
      </c>
      <c r="J5" s="7">
        <f t="shared" ca="1" si="2"/>
        <v>44742</v>
      </c>
      <c r="K5" s="7">
        <f t="shared" ca="1" si="2"/>
        <v>44834</v>
      </c>
      <c r="L5" s="7">
        <f t="shared" ca="1" si="2"/>
        <v>44926</v>
      </c>
      <c r="M5" s="7">
        <f t="shared" ca="1" si="2"/>
        <v>45016</v>
      </c>
      <c r="N5" s="7">
        <f t="shared" ca="1" si="2"/>
        <v>45107</v>
      </c>
      <c r="O5" s="7">
        <f t="shared" ca="1" si="2"/>
        <v>45199</v>
      </c>
      <c r="P5" s="7">
        <f t="shared" ca="1" si="2"/>
        <v>45291</v>
      </c>
      <c r="Q5" s="7">
        <f t="shared" ca="1" si="2"/>
        <v>45382</v>
      </c>
      <c r="R5" s="7">
        <f t="shared" ca="1" si="2"/>
        <v>45473</v>
      </c>
      <c r="S5" s="7">
        <f t="shared" ca="1" si="2"/>
        <v>45565</v>
      </c>
      <c r="T5" s="7">
        <f t="shared" ca="1" si="2"/>
        <v>45657</v>
      </c>
      <c r="U5" s="7">
        <f t="shared" ca="1" si="2"/>
        <v>45747</v>
      </c>
      <c r="V5" s="7">
        <f t="shared" ca="1" si="2"/>
        <v>45838</v>
      </c>
      <c r="W5" s="7">
        <f t="shared" ca="1" si="2"/>
        <v>45930</v>
      </c>
      <c r="X5" s="7">
        <f t="shared" ca="1" si="2"/>
        <v>46022</v>
      </c>
      <c r="Y5" s="7">
        <f t="shared" ca="1" si="2"/>
        <v>46112</v>
      </c>
      <c r="Z5" s="7">
        <f t="shared" ca="1" si="2"/>
        <v>46203</v>
      </c>
      <c r="AA5" s="7">
        <f t="shared" ca="1" si="2"/>
        <v>46295</v>
      </c>
      <c r="AB5" s="7">
        <f t="shared" ca="1" si="2"/>
        <v>46387</v>
      </c>
      <c r="AC5" s="8" t="s">
        <v>75</v>
      </c>
    </row>
    <row r="6" spans="1:29" outlineLevel="1" x14ac:dyDescent="0.2">
      <c r="A6" s="1" t="s">
        <v>0</v>
      </c>
      <c r="E6" s="1">
        <f t="shared" ref="E6:AB6" ca="1" si="3">+YEAR(E5)</f>
        <v>2021</v>
      </c>
      <c r="F6" s="1">
        <f t="shared" ca="1" si="3"/>
        <v>2021</v>
      </c>
      <c r="G6" s="1">
        <f t="shared" ca="1" si="3"/>
        <v>2021</v>
      </c>
      <c r="H6" s="1">
        <f t="shared" ca="1" si="3"/>
        <v>2021</v>
      </c>
      <c r="I6" s="1">
        <f t="shared" ca="1" si="3"/>
        <v>2022</v>
      </c>
      <c r="J6" s="1">
        <f t="shared" ca="1" si="3"/>
        <v>2022</v>
      </c>
      <c r="K6" s="1">
        <f t="shared" ca="1" si="3"/>
        <v>2022</v>
      </c>
      <c r="L6" s="1">
        <f t="shared" ca="1" si="3"/>
        <v>2022</v>
      </c>
      <c r="M6" s="1">
        <f t="shared" ca="1" si="3"/>
        <v>2023</v>
      </c>
      <c r="N6" s="1">
        <f t="shared" ca="1" si="3"/>
        <v>2023</v>
      </c>
      <c r="O6" s="1">
        <f t="shared" ca="1" si="3"/>
        <v>2023</v>
      </c>
      <c r="P6" s="1">
        <f t="shared" ca="1" si="3"/>
        <v>2023</v>
      </c>
      <c r="Q6" s="1">
        <f t="shared" ca="1" si="3"/>
        <v>2024</v>
      </c>
      <c r="R6" s="1">
        <f t="shared" ca="1" si="3"/>
        <v>2024</v>
      </c>
      <c r="S6" s="1">
        <f t="shared" ca="1" si="3"/>
        <v>2024</v>
      </c>
      <c r="T6" s="1">
        <f t="shared" ca="1" si="3"/>
        <v>2024</v>
      </c>
      <c r="U6" s="1">
        <f t="shared" ca="1" si="3"/>
        <v>2025</v>
      </c>
      <c r="V6" s="1">
        <f t="shared" ca="1" si="3"/>
        <v>2025</v>
      </c>
      <c r="W6" s="1">
        <f t="shared" ca="1" si="3"/>
        <v>2025</v>
      </c>
      <c r="X6" s="1">
        <f t="shared" ca="1" si="3"/>
        <v>2025</v>
      </c>
      <c r="Y6" s="1">
        <f t="shared" ca="1" si="3"/>
        <v>2026</v>
      </c>
      <c r="Z6" s="1">
        <f t="shared" ca="1" si="3"/>
        <v>2026</v>
      </c>
      <c r="AA6" s="1">
        <f t="shared" ca="1" si="3"/>
        <v>2026</v>
      </c>
      <c r="AB6" s="1">
        <f t="shared" ca="1" si="3"/>
        <v>2026</v>
      </c>
      <c r="AC6" s="8" t="s">
        <v>75</v>
      </c>
    </row>
    <row r="7" spans="1:29" s="3" customFormat="1" x14ac:dyDescent="0.2">
      <c r="A7" s="17" t="s">
        <v>75</v>
      </c>
      <c r="B7" s="3" t="s">
        <v>221</v>
      </c>
      <c r="C7" s="332"/>
      <c r="AC7" s="87" t="s">
        <v>75</v>
      </c>
    </row>
    <row r="8" spans="1:29" x14ac:dyDescent="0.2">
      <c r="B8" s="1" t="s">
        <v>197</v>
      </c>
      <c r="E8" s="206">
        <f ca="1">+SUMIFS(FX!$11:$11,FX!$3:$3,E$3)</f>
        <v>5.3901184210526321</v>
      </c>
      <c r="F8" s="206">
        <f ca="1">+SUMIFS(FX!$11:$11,FX!$3:$3,F$3)</f>
        <v>5.6440049751243784</v>
      </c>
      <c r="G8" s="206">
        <f ca="1">+SUMIFS(FX!$11:$11,FX!$3:$3,G$3)</f>
        <v>5.6720846018662918</v>
      </c>
      <c r="H8" s="206">
        <f ca="1">+SUMIFS(FX!$11:$11,FX!$3:$3,H$3)</f>
        <v>5.700303928243736</v>
      </c>
      <c r="I8" s="206">
        <f ca="1">+SUMIFS(FX!$11:$11,FX!$3:$3,I$3)</f>
        <v>5.7286636492797758</v>
      </c>
      <c r="J8" s="206">
        <f ca="1">+SUMIFS(FX!$11:$11,FX!$3:$3,J$3)</f>
        <v>5.7571644634552976</v>
      </c>
      <c r="K8" s="206">
        <f ca="1">+SUMIFS(FX!$11:$11,FX!$3:$3,K$3)</f>
        <v>5.7858070727262199</v>
      </c>
      <c r="L8" s="206">
        <f ca="1">+SUMIFS(FX!$11:$11,FX!$3:$3,L$3)</f>
        <v>5.81459218254078</v>
      </c>
      <c r="M8" s="206">
        <f ca="1">+SUMIFS(FX!$11:$11,FX!$3:$3,M$3)</f>
        <v>5.8435205018569034</v>
      </c>
      <c r="N8" s="206">
        <f ca="1">+SUMIFS(FX!$11:$11,FX!$3:$3,N$3)</f>
        <v>5.8725927431596752</v>
      </c>
      <c r="O8" s="206">
        <f ca="1">+SUMIFS(FX!$11:$11,FX!$3:$3,O$3)</f>
        <v>5.9018096224788774</v>
      </c>
      <c r="P8" s="206">
        <f ca="1">+SUMIFS(FX!$11:$11,FX!$3:$3,P$3)</f>
        <v>5.9311718594066338</v>
      </c>
      <c r="Q8" s="206">
        <f ca="1">+SUMIFS(FX!$11:$11,FX!$3:$3,Q$3)</f>
        <v>5.9606801771151243</v>
      </c>
      <c r="R8" s="206">
        <f ca="1">+SUMIFS(FX!$11:$11,FX!$3:$3,R$3)</f>
        <v>5.9903353023744046</v>
      </c>
      <c r="S8" s="206">
        <f ca="1">+SUMIFS(FX!$11:$11,FX!$3:$3,S$3)</f>
        <v>6.0201379655702976</v>
      </c>
      <c r="T8" s="206">
        <f ca="1">+SUMIFS(FX!$11:$11,FX!$3:$3,T$3)</f>
        <v>6.0500889007223897</v>
      </c>
      <c r="U8" s="206">
        <f ca="1">+SUMIFS(FX!$11:$11,FX!$3:$3,U$3)</f>
        <v>6.0801888455021036</v>
      </c>
      <c r="V8" s="206">
        <f ca="1">+SUMIFS(FX!$11:$11,FX!$3:$3,V$3)</f>
        <v>6.1104385412508719</v>
      </c>
      <c r="W8" s="206">
        <f ca="1">+SUMIFS(FX!$11:$11,FX!$3:$3,W$3)</f>
        <v>6.1408387329983887</v>
      </c>
      <c r="X8" s="206">
        <f ca="1">+SUMIFS(FX!$11:$11,FX!$3:$3,X$3)</f>
        <v>6.1713901694809685</v>
      </c>
      <c r="Y8" s="206">
        <f ca="1">+SUMIFS(FX!$11:$11,FX!$3:$3,Y$3)</f>
        <v>6.2020936031599794</v>
      </c>
      <c r="Z8" s="206">
        <f ca="1">+SUMIFS(FX!$11:$11,FX!$3:$3,Z$3)</f>
        <v>6.2329497902403785</v>
      </c>
      <c r="AA8" s="206">
        <f ca="1">+SUMIFS(FX!$11:$11,FX!$3:$3,AA$3)</f>
        <v>6.2639594906893361</v>
      </c>
      <c r="AB8" s="206">
        <f ca="1">+SUMIFS(FX!$11:$11,FX!$3:$3,AB$3)</f>
        <v>6.2951234682549559</v>
      </c>
      <c r="AC8" s="8" t="s">
        <v>75</v>
      </c>
    </row>
    <row r="9" spans="1:29" x14ac:dyDescent="0.2">
      <c r="AC9" s="8" t="s">
        <v>75</v>
      </c>
    </row>
    <row r="10" spans="1:29" s="3" customFormat="1" x14ac:dyDescent="0.2">
      <c r="A10" s="17" t="s">
        <v>75</v>
      </c>
      <c r="B10" s="3" t="s">
        <v>192</v>
      </c>
      <c r="C10" s="332"/>
      <c r="AC10" s="87" t="s">
        <v>75</v>
      </c>
    </row>
    <row r="11" spans="1:29" x14ac:dyDescent="0.2">
      <c r="B11" s="1" t="s">
        <v>448</v>
      </c>
      <c r="D11" s="197"/>
      <c r="E11" s="1">
        <f t="shared" ref="E11:AB11" ca="1" si="4">+IF(MONTH(E5)=12,1,0)</f>
        <v>0</v>
      </c>
      <c r="F11" s="1">
        <f t="shared" ca="1" si="4"/>
        <v>0</v>
      </c>
      <c r="G11" s="1">
        <f t="shared" ca="1" si="4"/>
        <v>0</v>
      </c>
      <c r="H11" s="1">
        <f t="shared" ca="1" si="4"/>
        <v>1</v>
      </c>
      <c r="I11" s="1">
        <f t="shared" ca="1" si="4"/>
        <v>0</v>
      </c>
      <c r="J11" s="1">
        <f t="shared" ca="1" si="4"/>
        <v>0</v>
      </c>
      <c r="K11" s="1">
        <f t="shared" ca="1" si="4"/>
        <v>0</v>
      </c>
      <c r="L11" s="1">
        <f t="shared" ca="1" si="4"/>
        <v>1</v>
      </c>
      <c r="M11" s="1">
        <f t="shared" ca="1" si="4"/>
        <v>0</v>
      </c>
      <c r="N11" s="1">
        <f t="shared" ca="1" si="4"/>
        <v>0</v>
      </c>
      <c r="O11" s="1">
        <f t="shared" ca="1" si="4"/>
        <v>0</v>
      </c>
      <c r="P11" s="1">
        <f t="shared" ca="1" si="4"/>
        <v>1</v>
      </c>
      <c r="Q11" s="1">
        <f t="shared" ca="1" si="4"/>
        <v>0</v>
      </c>
      <c r="R11" s="1">
        <f t="shared" ca="1" si="4"/>
        <v>0</v>
      </c>
      <c r="S11" s="1">
        <f t="shared" ca="1" si="4"/>
        <v>0</v>
      </c>
      <c r="T11" s="1">
        <f t="shared" ca="1" si="4"/>
        <v>1</v>
      </c>
      <c r="U11" s="1">
        <f t="shared" ca="1" si="4"/>
        <v>0</v>
      </c>
      <c r="V11" s="1">
        <f t="shared" ca="1" si="4"/>
        <v>0</v>
      </c>
      <c r="W11" s="1">
        <f t="shared" ca="1" si="4"/>
        <v>0</v>
      </c>
      <c r="X11" s="1">
        <f t="shared" ca="1" si="4"/>
        <v>1</v>
      </c>
      <c r="Y11" s="1">
        <f t="shared" ca="1" si="4"/>
        <v>0</v>
      </c>
      <c r="Z11" s="1">
        <f t="shared" ca="1" si="4"/>
        <v>0</v>
      </c>
      <c r="AA11" s="1">
        <f t="shared" ca="1" si="4"/>
        <v>0</v>
      </c>
      <c r="AB11" s="1">
        <f t="shared" ca="1" si="4"/>
        <v>1</v>
      </c>
      <c r="AC11" s="8" t="s">
        <v>75</v>
      </c>
    </row>
    <row r="12" spans="1:29" x14ac:dyDescent="0.2">
      <c r="B12" s="1" t="s">
        <v>384</v>
      </c>
      <c r="D12" s="197" t="str">
        <f ca="1">+Ctrl!$G$23</f>
        <v>4Q26</v>
      </c>
      <c r="E12" s="1">
        <f t="shared" ref="E12:AB12" ca="1" si="5">+IF(E3=$D12,1,0)</f>
        <v>0</v>
      </c>
      <c r="F12" s="1">
        <f t="shared" ca="1" si="5"/>
        <v>0</v>
      </c>
      <c r="G12" s="1">
        <f t="shared" ca="1" si="5"/>
        <v>0</v>
      </c>
      <c r="H12" s="1">
        <f t="shared" ca="1" si="5"/>
        <v>0</v>
      </c>
      <c r="I12" s="1">
        <f t="shared" ca="1" si="5"/>
        <v>0</v>
      </c>
      <c r="J12" s="1">
        <f t="shared" ca="1" si="5"/>
        <v>0</v>
      </c>
      <c r="K12" s="1">
        <f t="shared" ca="1" si="5"/>
        <v>0</v>
      </c>
      <c r="L12" s="1">
        <f t="shared" ca="1" si="5"/>
        <v>0</v>
      </c>
      <c r="M12" s="1">
        <f t="shared" ca="1" si="5"/>
        <v>0</v>
      </c>
      <c r="N12" s="1">
        <f t="shared" ca="1" si="5"/>
        <v>0</v>
      </c>
      <c r="O12" s="1">
        <f t="shared" ca="1" si="5"/>
        <v>0</v>
      </c>
      <c r="P12" s="1">
        <f t="shared" ca="1" si="5"/>
        <v>0</v>
      </c>
      <c r="Q12" s="1">
        <f t="shared" ca="1" si="5"/>
        <v>0</v>
      </c>
      <c r="R12" s="1">
        <f t="shared" ca="1" si="5"/>
        <v>0</v>
      </c>
      <c r="S12" s="1">
        <f t="shared" ca="1" si="5"/>
        <v>0</v>
      </c>
      <c r="T12" s="1">
        <f t="shared" ca="1" si="5"/>
        <v>0</v>
      </c>
      <c r="U12" s="1">
        <f t="shared" ca="1" si="5"/>
        <v>0</v>
      </c>
      <c r="V12" s="1">
        <f t="shared" ca="1" si="5"/>
        <v>0</v>
      </c>
      <c r="W12" s="1">
        <f t="shared" ca="1" si="5"/>
        <v>0</v>
      </c>
      <c r="X12" s="1">
        <f t="shared" ca="1" si="5"/>
        <v>0</v>
      </c>
      <c r="Y12" s="1">
        <f t="shared" ca="1" si="5"/>
        <v>0</v>
      </c>
      <c r="Z12" s="1">
        <f t="shared" ca="1" si="5"/>
        <v>0</v>
      </c>
      <c r="AA12" s="1">
        <f t="shared" ca="1" si="5"/>
        <v>0</v>
      </c>
      <c r="AB12" s="1">
        <f t="shared" ca="1" si="5"/>
        <v>1</v>
      </c>
      <c r="AC12" s="8" t="s">
        <v>75</v>
      </c>
    </row>
    <row r="13" spans="1:29" x14ac:dyDescent="0.2">
      <c r="B13" s="1" t="s">
        <v>425</v>
      </c>
      <c r="D13" s="197"/>
      <c r="E13" s="1">
        <f t="shared" ref="E13:Y13" ca="1" si="6">+IF(SUM(E12:H12)&gt;0,1,0)</f>
        <v>0</v>
      </c>
      <c r="F13" s="1">
        <f t="shared" ca="1" si="6"/>
        <v>0</v>
      </c>
      <c r="G13" s="1">
        <f t="shared" ca="1" si="6"/>
        <v>0</v>
      </c>
      <c r="H13" s="1">
        <f t="shared" ca="1" si="6"/>
        <v>0</v>
      </c>
      <c r="I13" s="1">
        <f t="shared" ca="1" si="6"/>
        <v>0</v>
      </c>
      <c r="J13" s="1">
        <f t="shared" ca="1" si="6"/>
        <v>0</v>
      </c>
      <c r="K13" s="1">
        <f t="shared" ca="1" si="6"/>
        <v>0</v>
      </c>
      <c r="L13" s="1">
        <f t="shared" ca="1" si="6"/>
        <v>0</v>
      </c>
      <c r="M13" s="1">
        <f t="shared" ca="1" si="6"/>
        <v>0</v>
      </c>
      <c r="N13" s="1">
        <f t="shared" ca="1" si="6"/>
        <v>0</v>
      </c>
      <c r="O13" s="1">
        <f t="shared" ca="1" si="6"/>
        <v>0</v>
      </c>
      <c r="P13" s="1">
        <f t="shared" ca="1" si="6"/>
        <v>0</v>
      </c>
      <c r="Q13" s="1">
        <f t="shared" ca="1" si="6"/>
        <v>0</v>
      </c>
      <c r="R13" s="1">
        <f t="shared" ca="1" si="6"/>
        <v>0</v>
      </c>
      <c r="S13" s="1">
        <f t="shared" ca="1" si="6"/>
        <v>0</v>
      </c>
      <c r="T13" s="1">
        <f t="shared" ca="1" si="6"/>
        <v>0</v>
      </c>
      <c r="U13" s="1">
        <f t="shared" ca="1" si="6"/>
        <v>0</v>
      </c>
      <c r="V13" s="1">
        <f t="shared" ca="1" si="6"/>
        <v>0</v>
      </c>
      <c r="W13" s="1">
        <f t="shared" ca="1" si="6"/>
        <v>0</v>
      </c>
      <c r="X13" s="1">
        <f t="shared" ca="1" si="6"/>
        <v>0</v>
      </c>
      <c r="Y13" s="1">
        <f t="shared" ca="1" si="6"/>
        <v>1</v>
      </c>
      <c r="Z13" s="1">
        <f ca="1">+IF(SUM(Z12:AB12)&gt;0,1,0)</f>
        <v>1</v>
      </c>
      <c r="AA13" s="1">
        <f ca="1">+IF(SUM(AA12:AC12)&gt;0,1,0)</f>
        <v>1</v>
      </c>
      <c r="AB13" s="1">
        <f ca="1">+IF(SUM(AB12:AD12)&gt;0,1,0)</f>
        <v>1</v>
      </c>
      <c r="AC13" s="8" t="s">
        <v>75</v>
      </c>
    </row>
    <row r="14" spans="1:29" x14ac:dyDescent="0.2">
      <c r="B14" s="1" t="s">
        <v>388</v>
      </c>
      <c r="D14" s="168">
        <f ca="1">+Ctrl!$G$17</f>
        <v>0.125</v>
      </c>
      <c r="E14" s="208">
        <v>1</v>
      </c>
      <c r="F14" s="198">
        <f t="shared" ref="F14:AB14" ca="1" si="7">+E14*(1+$D14)^((F$5-E$5)/365)</f>
        <v>1.0298004911859842</v>
      </c>
      <c r="G14" s="198">
        <f t="shared" ca="1" si="7"/>
        <v>1.0608313195246315</v>
      </c>
      <c r="H14" s="198">
        <f t="shared" ca="1" si="7"/>
        <v>1.0927971952978297</v>
      </c>
      <c r="I14" s="198">
        <f t="shared" ca="1" si="7"/>
        <v>1.125</v>
      </c>
      <c r="J14" s="198">
        <f t="shared" ca="1" si="7"/>
        <v>1.1585255525842322</v>
      </c>
      <c r="K14" s="198">
        <f t="shared" ca="1" si="7"/>
        <v>1.1934352344652106</v>
      </c>
      <c r="L14" s="198">
        <f t="shared" ca="1" si="7"/>
        <v>1.2293968447100585</v>
      </c>
      <c r="M14" s="198">
        <f t="shared" ca="1" si="7"/>
        <v>1.265625</v>
      </c>
      <c r="N14" s="198">
        <f t="shared" ca="1" si="7"/>
        <v>1.3033412466572611</v>
      </c>
      <c r="O14" s="198">
        <f t="shared" ca="1" si="7"/>
        <v>1.3426146387733617</v>
      </c>
      <c r="P14" s="198">
        <f t="shared" ca="1" si="7"/>
        <v>1.3830714502988157</v>
      </c>
      <c r="Q14" s="198">
        <f t="shared" ca="1" si="7"/>
        <v>1.424287658863032</v>
      </c>
      <c r="R14" s="198">
        <f t="shared" ca="1" si="7"/>
        <v>1.4667321306872858</v>
      </c>
      <c r="S14" s="198">
        <f t="shared" ca="1" si="7"/>
        <v>1.5109289565343185</v>
      </c>
      <c r="T14" s="198">
        <f t="shared" ca="1" si="7"/>
        <v>1.5564575589028333</v>
      </c>
      <c r="U14" s="198">
        <f t="shared" ca="1" si="7"/>
        <v>1.6023236162209109</v>
      </c>
      <c r="V14" s="198">
        <f t="shared" ca="1" si="7"/>
        <v>1.6500736470231965</v>
      </c>
      <c r="W14" s="198">
        <f t="shared" ca="1" si="7"/>
        <v>1.6997950761011082</v>
      </c>
      <c r="X14" s="198">
        <f t="shared" ca="1" si="7"/>
        <v>1.7510147537656875</v>
      </c>
      <c r="Y14" s="198">
        <f t="shared" ca="1" si="7"/>
        <v>1.8026140682485248</v>
      </c>
      <c r="Z14" s="198">
        <f t="shared" ca="1" si="7"/>
        <v>1.8563328529010961</v>
      </c>
      <c r="AA14" s="198">
        <f t="shared" ca="1" si="7"/>
        <v>1.9122694606137469</v>
      </c>
      <c r="AB14" s="198">
        <f t="shared" ca="1" si="7"/>
        <v>1.9698915979863987</v>
      </c>
      <c r="AC14" s="8" t="s">
        <v>75</v>
      </c>
    </row>
    <row r="15" spans="1:29" x14ac:dyDescent="0.2">
      <c r="B15" s="1" t="s">
        <v>402</v>
      </c>
      <c r="D15" s="168">
        <f ca="1">+Ctrl!$G$18</f>
        <v>7.4999999999999997E-2</v>
      </c>
      <c r="E15" s="208">
        <v>1</v>
      </c>
      <c r="F15" s="198">
        <f t="shared" ref="F15:AB15" ca="1" si="8">+E15*(1+$D15)^((F$5-E$5)/365)</f>
        <v>1.0181941639072272</v>
      </c>
      <c r="G15" s="198">
        <f t="shared" ca="1" si="8"/>
        <v>1.0369247900941803</v>
      </c>
      <c r="H15" s="198">
        <f t="shared" ca="1" si="8"/>
        <v>1.0559999835255665</v>
      </c>
      <c r="I15" s="198">
        <f t="shared" ca="1" si="8"/>
        <v>1.0750000000000004</v>
      </c>
      <c r="J15" s="198">
        <f t="shared" ca="1" si="8"/>
        <v>1.0945587262002696</v>
      </c>
      <c r="K15" s="198">
        <f t="shared" ca="1" si="8"/>
        <v>1.1146941493512441</v>
      </c>
      <c r="L15" s="198">
        <f t="shared" ca="1" si="8"/>
        <v>1.1351999822899843</v>
      </c>
      <c r="M15" s="198">
        <f t="shared" ca="1" si="8"/>
        <v>1.1556250000000008</v>
      </c>
      <c r="N15" s="198">
        <f t="shared" ca="1" si="8"/>
        <v>1.1766506306652902</v>
      </c>
      <c r="O15" s="198">
        <f t="shared" ca="1" si="8"/>
        <v>1.1982962105525878</v>
      </c>
      <c r="P15" s="198">
        <f t="shared" ca="1" si="8"/>
        <v>1.2203399809617335</v>
      </c>
      <c r="Q15" s="198">
        <f t="shared" ca="1" si="8"/>
        <v>1.2425430465978937</v>
      </c>
      <c r="R15" s="198">
        <f t="shared" ca="1" si="8"/>
        <v>1.2651500784494811</v>
      </c>
      <c r="S15" s="198">
        <f t="shared" ca="1" si="8"/>
        <v>1.2884236877765041</v>
      </c>
      <c r="T15" s="198">
        <f t="shared" ca="1" si="8"/>
        <v>1.3121254367371826</v>
      </c>
      <c r="U15" s="198">
        <f t="shared" ca="1" si="8"/>
        <v>1.3357337750927358</v>
      </c>
      <c r="V15" s="198">
        <f t="shared" ca="1" si="8"/>
        <v>1.3600363343331925</v>
      </c>
      <c r="W15" s="198">
        <f t="shared" ca="1" si="8"/>
        <v>1.3850554643597421</v>
      </c>
      <c r="X15" s="198">
        <f t="shared" ca="1" si="8"/>
        <v>1.4105348444924717</v>
      </c>
      <c r="Y15" s="198">
        <f t="shared" ca="1" si="8"/>
        <v>1.4359138082246914</v>
      </c>
      <c r="Z15" s="198">
        <f t="shared" ca="1" si="8"/>
        <v>1.4620390594081822</v>
      </c>
      <c r="AA15" s="198">
        <f t="shared" ca="1" si="8"/>
        <v>1.4889346241867232</v>
      </c>
      <c r="AB15" s="198">
        <f t="shared" ca="1" si="8"/>
        <v>1.5163249578294076</v>
      </c>
      <c r="AC15" s="8" t="s">
        <v>75</v>
      </c>
    </row>
    <row r="16" spans="1:29" x14ac:dyDescent="0.2">
      <c r="B16" s="1" t="s">
        <v>403</v>
      </c>
      <c r="D16" s="168">
        <f ca="1">+Ctrl!$G$19</f>
        <v>0.15</v>
      </c>
      <c r="E16" s="208">
        <v>1</v>
      </c>
      <c r="F16" s="198">
        <f t="shared" ref="F16:AB16" ca="1" si="9">+E16*(1+$D16)^((F$5-E$5)/365)</f>
        <v>1.0354589498477689</v>
      </c>
      <c r="G16" s="198">
        <f t="shared" ca="1" si="9"/>
        <v>1.0725858614408872</v>
      </c>
      <c r="H16" s="198">
        <f t="shared" ca="1" si="9"/>
        <v>1.1110439774865295</v>
      </c>
      <c r="I16" s="198">
        <f t="shared" ca="1" si="9"/>
        <v>1.1500000000000004</v>
      </c>
      <c r="J16" s="198">
        <f t="shared" ca="1" si="9"/>
        <v>1.1907777923249345</v>
      </c>
      <c r="K16" s="198">
        <f t="shared" ca="1" si="9"/>
        <v>1.2334737406570204</v>
      </c>
      <c r="L16" s="198">
        <f t="shared" ca="1" si="9"/>
        <v>1.2777005741095091</v>
      </c>
      <c r="M16" s="198">
        <f t="shared" ca="1" si="9"/>
        <v>1.3225000000000005</v>
      </c>
      <c r="N16" s="198">
        <f t="shared" ca="1" si="9"/>
        <v>1.3693944611736748</v>
      </c>
      <c r="O16" s="198">
        <f t="shared" ca="1" si="9"/>
        <v>1.4184948017555736</v>
      </c>
      <c r="P16" s="198">
        <f t="shared" ca="1" si="9"/>
        <v>1.4693556602259354</v>
      </c>
      <c r="Q16" s="198">
        <f t="shared" ca="1" si="9"/>
        <v>1.5214574688904221</v>
      </c>
      <c r="R16" s="198">
        <f t="shared" ca="1" si="9"/>
        <v>1.5754067529753208</v>
      </c>
      <c r="S16" s="198">
        <f t="shared" ca="1" si="9"/>
        <v>1.6318937699155049</v>
      </c>
      <c r="T16" s="198">
        <f t="shared" ca="1" si="9"/>
        <v>1.690406157812602</v>
      </c>
      <c r="U16" s="198">
        <f t="shared" ca="1" si="9"/>
        <v>1.7496760892239855</v>
      </c>
      <c r="V16" s="198">
        <f t="shared" ca="1" si="9"/>
        <v>1.8117177659216193</v>
      </c>
      <c r="W16" s="198">
        <f t="shared" ca="1" si="9"/>
        <v>1.8766778354028311</v>
      </c>
      <c r="X16" s="198">
        <f t="shared" ca="1" si="9"/>
        <v>1.9439670814844925</v>
      </c>
      <c r="Y16" s="198">
        <f t="shared" ca="1" si="9"/>
        <v>2.0121275026075836</v>
      </c>
      <c r="Z16" s="198">
        <f t="shared" ca="1" si="9"/>
        <v>2.0834754308098624</v>
      </c>
      <c r="AA16" s="198">
        <f t="shared" ca="1" si="9"/>
        <v>2.1581795107132558</v>
      </c>
      <c r="AB16" s="198">
        <f t="shared" ca="1" si="9"/>
        <v>2.2355621437071664</v>
      </c>
      <c r="AC16" s="8" t="s">
        <v>75</v>
      </c>
    </row>
    <row r="17" spans="1:35" x14ac:dyDescent="0.2">
      <c r="AC17" s="8" t="s">
        <v>75</v>
      </c>
    </row>
    <row r="18" spans="1:35" s="3" customFormat="1" x14ac:dyDescent="0.2">
      <c r="A18" s="17" t="s">
        <v>75</v>
      </c>
      <c r="B18" s="3" t="s">
        <v>362</v>
      </c>
      <c r="C18" s="332"/>
      <c r="AC18" s="87" t="s">
        <v>75</v>
      </c>
    </row>
    <row r="19" spans="1:35" x14ac:dyDescent="0.2">
      <c r="B19" s="1" t="s">
        <v>140</v>
      </c>
      <c r="C19" s="45" t="s">
        <v>187</v>
      </c>
      <c r="F19" s="46">
        <f ca="1">+SUMIFS(Financials!$27:$27,Financials!$3:$3,Valuation!F$3)</f>
        <v>246.52241548370301</v>
      </c>
      <c r="G19" s="46">
        <f ca="1">+SUMIFS(Financials!$27:$27,Financials!$3:$3,Valuation!G$3)</f>
        <v>243.59166941154521</v>
      </c>
      <c r="H19" s="46">
        <f ca="1">+SUMIFS(Financials!$27:$27,Financials!$3:$3,Valuation!H$3)</f>
        <v>131.24773651404573</v>
      </c>
      <c r="I19" s="46">
        <f ca="1">+SUMIFS(Financials!$27:$27,Financials!$3:$3,Valuation!I$3)</f>
        <v>186.0192275751044</v>
      </c>
      <c r="J19" s="46">
        <f ca="1">+SUMIFS(Financials!$27:$27,Financials!$3:$3,Valuation!J$3)</f>
        <v>297.7925784060655</v>
      </c>
      <c r="K19" s="46">
        <f ca="1">+SUMIFS(Financials!$27:$27,Financials!$3:$3,Valuation!K$3)</f>
        <v>284.90982522054344</v>
      </c>
      <c r="L19" s="46">
        <f ca="1">+SUMIFS(Financials!$27:$27,Financials!$3:$3,Valuation!L$3)</f>
        <v>160.29728361141676</v>
      </c>
      <c r="M19" s="46">
        <f ca="1">+SUMIFS(Financials!$27:$27,Financials!$3:$3,Valuation!M$3)</f>
        <v>194.06073869807096</v>
      </c>
      <c r="N19" s="46">
        <f ca="1">+SUMIFS(Financials!$27:$27,Financials!$3:$3,Valuation!N$3)</f>
        <v>323.96501222235059</v>
      </c>
      <c r="O19" s="46">
        <f ca="1">+SUMIFS(Financials!$27:$27,Financials!$3:$3,Valuation!O$3)</f>
        <v>306.20107846618549</v>
      </c>
      <c r="P19" s="46">
        <f ca="1">+SUMIFS(Financials!$27:$27,Financials!$3:$3,Valuation!P$3)</f>
        <v>167.39687857620805</v>
      </c>
      <c r="Q19" s="46">
        <f ca="1">+SUMIFS(Financials!$27:$27,Financials!$3:$3,Valuation!Q$3)</f>
        <v>217.00375975731865</v>
      </c>
      <c r="R19" s="46">
        <f ca="1">+SUMIFS(Financials!$27:$27,Financials!$3:$3,Valuation!R$3)</f>
        <v>364.06434451950042</v>
      </c>
      <c r="S19" s="46">
        <f ca="1">+SUMIFS(Financials!$27:$27,Financials!$3:$3,Valuation!S$3)</f>
        <v>343.92073241853211</v>
      </c>
      <c r="T19" s="46">
        <f ca="1">+SUMIFS(Financials!$27:$27,Financials!$3:$3,Valuation!T$3)</f>
        <v>188.96826857253714</v>
      </c>
      <c r="U19" s="46">
        <f ca="1">+SUMIFS(Financials!$27:$27,Financials!$3:$3,Valuation!U$3)</f>
        <v>238.12415264066172</v>
      </c>
      <c r="V19" s="46">
        <f ca="1">+SUMIFS(Financials!$27:$27,Financials!$3:$3,Valuation!V$3)</f>
        <v>402.72987109544317</v>
      </c>
      <c r="W19" s="46">
        <f ca="1">+SUMIFS(Financials!$27:$27,Financials!$3:$3,Valuation!W$3)</f>
        <v>380.80069229349061</v>
      </c>
      <c r="X19" s="46">
        <f ca="1">+SUMIFS(Financials!$27:$27,Financials!$3:$3,Valuation!X$3)</f>
        <v>207.11273906335231</v>
      </c>
      <c r="Y19" s="46">
        <f ca="1">+SUMIFS(Financials!$27:$27,Financials!$3:$3,Valuation!Y$3)</f>
        <v>260.4787984268462</v>
      </c>
      <c r="Z19" s="46">
        <f ca="1">+SUMIFS(Financials!$27:$27,Financials!$3:$3,Valuation!Z$3)</f>
        <v>443.82185562516997</v>
      </c>
      <c r="AA19" s="46">
        <f ca="1">+SUMIFS(Financials!$27:$27,Financials!$3:$3,Valuation!AA$3)</f>
        <v>419.98263289304185</v>
      </c>
      <c r="AB19" s="46">
        <f ca="1">+SUMIFS(Financials!$27:$27,Financials!$3:$3,Valuation!AB$3)</f>
        <v>226.33549799734803</v>
      </c>
      <c r="AC19" s="8" t="s">
        <v>75</v>
      </c>
      <c r="AG19" s="11"/>
      <c r="AH19" s="11"/>
      <c r="AI19" s="11"/>
    </row>
    <row r="20" spans="1:35" x14ac:dyDescent="0.2">
      <c r="B20" s="1" t="s">
        <v>363</v>
      </c>
      <c r="C20" s="45" t="s">
        <v>187</v>
      </c>
      <c r="E20" s="67"/>
      <c r="F20" s="46">
        <f ca="1">+SUMIFS(Financials!$18:$18,Financials!$3:$3,Valuation!F$3)</f>
        <v>-50.108183127156231</v>
      </c>
      <c r="G20" s="46">
        <f ca="1">+SUMIFS(Financials!$18:$18,Financials!$3:$3,Valuation!G$3)</f>
        <v>-50.308082827827981</v>
      </c>
      <c r="H20" s="46">
        <f ca="1">+SUMIFS(Financials!$18:$18,Financials!$3:$3,Valuation!H$3)</f>
        <v>-50.50873214899903</v>
      </c>
      <c r="I20" s="46">
        <f ca="1">+SUMIFS(Financials!$18:$18,Financials!$3:$3,Valuation!I$3)</f>
        <v>-48.893073100434009</v>
      </c>
      <c r="J20" s="46">
        <f ca="1">+SUMIFS(Financials!$18:$18,Financials!$3:$3,Valuation!J$3)</f>
        <v>-47.260088496847509</v>
      </c>
      <c r="K20" s="46">
        <f ca="1">+SUMIFS(Financials!$18:$18,Financials!$3:$3,Valuation!K$3)</f>
        <v>-47.444831616108324</v>
      </c>
      <c r="L20" s="46">
        <f ca="1">+SUMIFS(Financials!$18:$18,Financials!$3:$3,Valuation!L$3)</f>
        <v>-47.630244039760044</v>
      </c>
      <c r="M20" s="46">
        <f ca="1">+SUMIFS(Financials!$18:$18,Financials!$3:$3,Valuation!M$3)</f>
        <v>-47.816327854811504</v>
      </c>
      <c r="N20" s="46">
        <f ca="1">+SUMIFS(Financials!$18:$18,Financials!$3:$3,Valuation!N$3)</f>
        <v>-48.003085152471364</v>
      </c>
      <c r="O20" s="46">
        <f ca="1">+SUMIFS(Financials!$18:$18,Financials!$3:$3,Valuation!O$3)</f>
        <v>-48.190518028138044</v>
      </c>
      <c r="P20" s="46">
        <f ca="1">+SUMIFS(Financials!$18:$18,Financials!$3:$3,Valuation!P$3)</f>
        <v>-48.378628581389833</v>
      </c>
      <c r="Q20" s="46">
        <f ca="1">+SUMIFS(Financials!$18:$18,Financials!$3:$3,Valuation!Q$3)</f>
        <v>-48.567418915974471</v>
      </c>
      <c r="R20" s="46">
        <f ca="1">+SUMIFS(Financials!$18:$18,Financials!$3:$3,Valuation!R$3)</f>
        <v>-48.756891139798789</v>
      </c>
      <c r="S20" s="46">
        <f ca="1">+SUMIFS(Financials!$18:$18,Financials!$3:$3,Valuation!S$3)</f>
        <v>-48.947047364917907</v>
      </c>
      <c r="T20" s="46">
        <f ca="1">+SUMIFS(Financials!$18:$18,Financials!$3:$3,Valuation!T$3)</f>
        <v>-49.137889707524423</v>
      </c>
      <c r="U20" s="46">
        <f ca="1">+SUMIFS(Financials!$18:$18,Financials!$3:$3,Valuation!U$3)</f>
        <v>-49.329420287937246</v>
      </c>
      <c r="V20" s="46">
        <f ca="1">+SUMIFS(Financials!$18:$18,Financials!$3:$3,Valuation!V$3)</f>
        <v>-49.521641230590333</v>
      </c>
      <c r="W20" s="46">
        <f ca="1">+SUMIFS(Financials!$18:$18,Financials!$3:$3,Valuation!W$3)</f>
        <v>-49.714554664021072</v>
      </c>
      <c r="X20" s="46">
        <f ca="1">+SUMIFS(Financials!$18:$18,Financials!$3:$3,Valuation!X$3)</f>
        <v>-49.908162720858627</v>
      </c>
      <c r="Y20" s="46">
        <f ca="1">+SUMIFS(Financials!$18:$18,Financials!$3:$3,Valuation!Y$3)</f>
        <v>-50.102467537811904</v>
      </c>
      <c r="Z20" s="46">
        <f ca="1">+SUMIFS(Financials!$18:$18,Financials!$3:$3,Valuation!Z$3)</f>
        <v>-50.297471255657328</v>
      </c>
      <c r="AA20" s="46">
        <f ca="1">+SUMIFS(Financials!$18:$18,Financials!$3:$3,Valuation!AA$3)</f>
        <v>-50.493176019226524</v>
      </c>
      <c r="AB20" s="46">
        <f ca="1">+SUMIFS(Financials!$18:$18,Financials!$3:$3,Valuation!AB$3)</f>
        <v>-50.68958397739361</v>
      </c>
      <c r="AC20" s="8" t="s">
        <v>75</v>
      </c>
      <c r="AG20" s="11"/>
      <c r="AH20" s="11"/>
      <c r="AI20" s="11"/>
    </row>
    <row r="21" spans="1:35" x14ac:dyDescent="0.2">
      <c r="B21" s="1" t="s">
        <v>364</v>
      </c>
      <c r="C21" s="45" t="s">
        <v>187</v>
      </c>
      <c r="F21" s="46">
        <f ca="1">+SUMIFS(Financials!$20:$20,Financials!$3:$3,Valuation!F$3)</f>
        <v>-34.166772374850979</v>
      </c>
      <c r="G21" s="46">
        <f ca="1">+SUMIFS(Financials!$20:$20,Financials!$3:$3,Valuation!G$3)</f>
        <v>-33.205539503072167</v>
      </c>
      <c r="H21" s="46">
        <f ca="1">+SUMIFS(Financials!$20:$20,Financials!$3:$3,Valuation!H$3)</f>
        <v>-4.9443939484045316</v>
      </c>
      <c r="I21" s="46">
        <f ca="1">+SUMIFS(Financials!$20:$20,Financials!$3:$3,Valuation!I$3)</f>
        <v>-18.862610047239023</v>
      </c>
      <c r="J21" s="46">
        <f ca="1">+SUMIFS(Financials!$20:$20,Financials!$3:$3,Valuation!J$3)</f>
        <v>-47.035622477304493</v>
      </c>
      <c r="K21" s="46">
        <f ca="1">+SUMIFS(Financials!$20:$20,Financials!$3:$3,Valuation!K$3)</f>
        <v>-43.59017697253735</v>
      </c>
      <c r="L21" s="46">
        <f ca="1">+SUMIFS(Financials!$20:$20,Financials!$3:$3,Valuation!L$3)</f>
        <v>-12.212117035771321</v>
      </c>
      <c r="M21" s="46">
        <f ca="1">+SUMIFS(Financials!$20:$20,Financials!$3:$3,Valuation!M$3)</f>
        <v>-20.533614490471912</v>
      </c>
      <c r="N21" s="46">
        <f ca="1">+SUMIFS(Financials!$20:$20,Financials!$3:$3,Valuation!N$3)</f>
        <v>-52.890148183926762</v>
      </c>
      <c r="O21" s="46">
        <f ca="1">+SUMIFS(Financials!$20:$20,Financials!$3:$3,Valuation!O$3)</f>
        <v>-48.329461162768723</v>
      </c>
      <c r="P21" s="46">
        <f ca="1">+SUMIFS(Financials!$20:$20,Financials!$3:$3,Valuation!P$3)</f>
        <v>-13.508538188761328</v>
      </c>
      <c r="Q21" s="46">
        <f ca="1">+SUMIFS(Financials!$20:$20,Financials!$3:$3,Valuation!Q$3)</f>
        <v>-25.788284911559277</v>
      </c>
      <c r="R21" s="46">
        <f ca="1">+SUMIFS(Financials!$20:$20,Financials!$3:$3,Valuation!R$3)</f>
        <v>-62.43128705731511</v>
      </c>
      <c r="S21" s="46">
        <f ca="1">+SUMIFS(Financials!$20:$20,Financials!$3:$3,Valuation!S$3)</f>
        <v>-57.273068986959714</v>
      </c>
      <c r="T21" s="46">
        <f ca="1">+SUMIFS(Financials!$20:$20,Financials!$3:$3,Valuation!T$3)</f>
        <v>-18.412466450975806</v>
      </c>
      <c r="U21" s="46">
        <f ca="1">+SUMIFS(Financials!$20:$20,Financials!$3:$3,Valuation!U$3)</f>
        <v>-30.576953132411504</v>
      </c>
      <c r="V21" s="46">
        <f ca="1">+SUMIFS(Financials!$20:$20,Financials!$3:$3,Valuation!V$3)</f>
        <v>-71.60372581995135</v>
      </c>
      <c r="W21" s="46">
        <f ca="1">+SUMIFS(Financials!$20:$20,Financials!$3:$3,Valuation!W$3)</f>
        <v>-65.996601070613266</v>
      </c>
      <c r="X21" s="46">
        <f ca="1">+SUMIFS(Financials!$20:$20,Financials!$3:$3,Valuation!X$3)</f>
        <v>-22.449609058377064</v>
      </c>
      <c r="Y21" s="46">
        <f ca="1">+SUMIFS(Financials!$20:$20,Financials!$3:$3,Valuation!Y$3)</f>
        <v>-35.664518937130282</v>
      </c>
      <c r="Z21" s="46">
        <f ca="1">+SUMIFS(Financials!$20:$20,Financials!$3:$3,Valuation!Z$3)</f>
        <v>-81.373503549367925</v>
      </c>
      <c r="AA21" s="46">
        <f ca="1">+SUMIFS(Financials!$20:$20,Financials!$3:$3,Valuation!AA$3)</f>
        <v>-75.286742917561668</v>
      </c>
      <c r="AB21" s="46">
        <f ca="1">+SUMIFS(Financials!$20:$20,Financials!$3:$3,Valuation!AB$3)</f>
        <v>-26.747828446214488</v>
      </c>
      <c r="AC21" s="8" t="s">
        <v>75</v>
      </c>
      <c r="AG21" s="11"/>
      <c r="AH21" s="11"/>
      <c r="AI21" s="11"/>
    </row>
    <row r="22" spans="1:35" x14ac:dyDescent="0.2">
      <c r="B22" s="1" t="s">
        <v>367</v>
      </c>
      <c r="C22" s="45" t="s">
        <v>187</v>
      </c>
      <c r="F22" s="46">
        <f ca="1">-SUMIFS(Financials!$169:$169,Financials!$3:$3,Valuation!F$3)</f>
        <v>-18.963219325718569</v>
      </c>
      <c r="G22" s="46">
        <f ca="1">-SUMIFS(Financials!$169:$169,Financials!$3:$3,Valuation!G$3)</f>
        <v>2.8234399054542791</v>
      </c>
      <c r="H22" s="46">
        <f ca="1">-SUMIFS(Financials!$169:$169,Financials!$3:$3,Valuation!H$3)</f>
        <v>21.831335315763909</v>
      </c>
      <c r="I22" s="46">
        <f ca="1">-SUMIFS(Financials!$169:$169,Financials!$3:$3,Valuation!I$3)</f>
        <v>-13.551590577574302</v>
      </c>
      <c r="J22" s="46">
        <f ca="1">-SUMIFS(Financials!$169:$169,Financials!$3:$3,Valuation!J$3)</f>
        <v>-21.350106902553307</v>
      </c>
      <c r="K22" s="46">
        <f ca="1">-SUMIFS(Financials!$169:$169,Financials!$3:$3,Valuation!K$3)</f>
        <v>3.164747490808395</v>
      </c>
      <c r="L22" s="46">
        <f ca="1">-SUMIFS(Financials!$169:$169,Financials!$3:$3,Valuation!L$3)</f>
        <v>24.530068512893763</v>
      </c>
      <c r="M22" s="46">
        <f ca="1">-SUMIFS(Financials!$169:$169,Financials!$3:$3,Valuation!M$3)</f>
        <v>-11.970287549012255</v>
      </c>
      <c r="N22" s="46">
        <f ca="1">-SUMIFS(Financials!$169:$169,Financials!$3:$3,Valuation!N$3)</f>
        <v>-23.98016697326193</v>
      </c>
      <c r="O22" s="46">
        <f ca="1">-SUMIFS(Financials!$169:$169,Financials!$3:$3,Valuation!O$3)</f>
        <v>3.47137500669578</v>
      </c>
      <c r="P22" s="46">
        <f ca="1">-SUMIFS(Financials!$169:$169,Financials!$3:$3,Valuation!P$3)</f>
        <v>27.483747711554315</v>
      </c>
      <c r="Q22" s="46">
        <f ca="1">-SUMIFS(Financials!$169:$169,Financials!$3:$3,Valuation!Q$3)</f>
        <v>-12.264832889707918</v>
      </c>
      <c r="R22" s="46">
        <f ca="1">-SUMIFS(Financials!$169:$169,Financials!$3:$3,Valuation!R$3)</f>
        <v>-27.839069696124511</v>
      </c>
      <c r="S22" s="46">
        <f ca="1">-SUMIFS(Financials!$169:$169,Financials!$3:$3,Valuation!S$3)</f>
        <v>3.8098550988333955</v>
      </c>
      <c r="T22" s="46">
        <f ca="1">-SUMIFS(Financials!$169:$169,Financials!$3:$3,Valuation!T$3)</f>
        <v>30.791240748176961</v>
      </c>
      <c r="U22" s="46">
        <f ca="1">-SUMIFS(Financials!$169:$169,Financials!$3:$3,Valuation!U$3)</f>
        <v>-14.519302368748185</v>
      </c>
      <c r="V22" s="46">
        <f ca="1">-SUMIFS(Financials!$169:$169,Financials!$3:$3,Valuation!V$3)</f>
        <v>-30.223589366211627</v>
      </c>
      <c r="W22" s="46">
        <f ca="1">-SUMIFS(Financials!$169:$169,Financials!$3:$3,Valuation!W$3)</f>
        <v>4.1835783015818606</v>
      </c>
      <c r="X22" s="46">
        <f ca="1">-SUMIFS(Financials!$169:$169,Financials!$3:$3,Valuation!X$3)</f>
        <v>34.493529510218423</v>
      </c>
      <c r="Y22" s="46">
        <f ca="1">-SUMIFS(Financials!$169:$169,Financials!$3:$3,Valuation!Y$3)</f>
        <v>-15.736438144967451</v>
      </c>
      <c r="Z22" s="46">
        <f ca="1">-SUMIFS(Financials!$169:$169,Financials!$3:$3,Valuation!Z$3)</f>
        <v>-33.749242347461745</v>
      </c>
      <c r="AA22" s="46">
        <f ca="1">-SUMIFS(Financials!$169:$169,Financials!$3:$3,Valuation!AA$3)</f>
        <v>4.5827253287337726</v>
      </c>
      <c r="AB22" s="46">
        <f ca="1">-SUMIFS(Financials!$169:$169,Financials!$3:$3,Valuation!AB$3)</f>
        <v>38.450344922183262</v>
      </c>
      <c r="AC22" s="8" t="s">
        <v>75</v>
      </c>
      <c r="AG22" s="11"/>
      <c r="AH22" s="11"/>
      <c r="AI22" s="11"/>
    </row>
    <row r="23" spans="1:35" x14ac:dyDescent="0.2">
      <c r="B23" s="1" t="s">
        <v>368</v>
      </c>
      <c r="C23" s="45" t="s">
        <v>187</v>
      </c>
      <c r="F23" s="46">
        <f ca="1">+SUMIFS(Financials!$76:$76,Financials!$3:$3,Valuation!F$3)</f>
        <v>-165</v>
      </c>
      <c r="G23" s="46">
        <f ca="1">+SUMIFS(Financials!$76:$76,Financials!$3:$3,Valuation!G$3)</f>
        <v>-100</v>
      </c>
      <c r="H23" s="46">
        <f ca="1">+SUMIFS(Financials!$76:$76,Financials!$3:$3,Valuation!H$3)</f>
        <v>-70</v>
      </c>
      <c r="I23" s="46">
        <f ca="1">+SUMIFS(Financials!$76:$76,Financials!$3:$3,Valuation!I$3)</f>
        <v>-100</v>
      </c>
      <c r="J23" s="46">
        <f ca="1">+SUMIFS(Financials!$76:$76,Financials!$3:$3,Valuation!J$3)</f>
        <v>-100</v>
      </c>
      <c r="K23" s="46">
        <f ca="1">+SUMIFS(Financials!$76:$76,Financials!$3:$3,Valuation!K$3)</f>
        <v>-100</v>
      </c>
      <c r="L23" s="46">
        <f ca="1">+SUMIFS(Financials!$76:$76,Financials!$3:$3,Valuation!L$3)</f>
        <v>-100</v>
      </c>
      <c r="M23" s="46">
        <f ca="1">+SUMIFS(Financials!$76:$76,Financials!$3:$3,Valuation!M$3)</f>
        <v>-40.793403392051701</v>
      </c>
      <c r="N23" s="46">
        <f ca="1">+SUMIFS(Financials!$76:$76,Financials!$3:$3,Valuation!N$3)</f>
        <v>-40.793403392051701</v>
      </c>
      <c r="O23" s="46">
        <f ca="1">+SUMIFS(Financials!$76:$76,Financials!$3:$3,Valuation!O$3)</f>
        <v>-40.793403392051701</v>
      </c>
      <c r="P23" s="46">
        <f ca="1">+SUMIFS(Financials!$76:$76,Financials!$3:$3,Valuation!P$3)</f>
        <v>-40.793403392051701</v>
      </c>
      <c r="Q23" s="46">
        <f ca="1">+SUMIFS(Financials!$76:$76,Financials!$3:$3,Valuation!Q$3)</f>
        <v>-41.87455374677959</v>
      </c>
      <c r="R23" s="46">
        <f ca="1">+SUMIFS(Financials!$76:$76,Financials!$3:$3,Valuation!R$3)</f>
        <v>-41.87455374677959</v>
      </c>
      <c r="S23" s="46">
        <f ca="1">+SUMIFS(Financials!$76:$76,Financials!$3:$3,Valuation!S$3)</f>
        <v>-41.87455374677959</v>
      </c>
      <c r="T23" s="46">
        <f ca="1">+SUMIFS(Financials!$76:$76,Financials!$3:$3,Valuation!T$3)</f>
        <v>-41.87455374677959</v>
      </c>
      <c r="U23" s="46">
        <f ca="1">+SUMIFS(Financials!$76:$76,Financials!$3:$3,Valuation!U$3)</f>
        <v>-42.89694667565908</v>
      </c>
      <c r="V23" s="46">
        <f ca="1">+SUMIFS(Financials!$76:$76,Financials!$3:$3,Valuation!V$3)</f>
        <v>-42.89694667565908</v>
      </c>
      <c r="W23" s="46">
        <f ca="1">+SUMIFS(Financials!$76:$76,Financials!$3:$3,Valuation!W$3)</f>
        <v>-42.89694667565908</v>
      </c>
      <c r="X23" s="46">
        <f ca="1">+SUMIFS(Financials!$76:$76,Financials!$3:$3,Valuation!X$3)</f>
        <v>-42.89694667565908</v>
      </c>
      <c r="Y23" s="46">
        <f ca="1">+SUMIFS(Financials!$76:$76,Financials!$3:$3,Valuation!Y$3)</f>
        <v>-43.696104413884839</v>
      </c>
      <c r="Z23" s="46">
        <f ca="1">+SUMIFS(Financials!$76:$76,Financials!$3:$3,Valuation!Z$3)</f>
        <v>-43.696104413884839</v>
      </c>
      <c r="AA23" s="46">
        <f ca="1">+SUMIFS(Financials!$76:$76,Financials!$3:$3,Valuation!AA$3)</f>
        <v>-43.696104413884839</v>
      </c>
      <c r="AB23" s="46">
        <f ca="1">+SUMIFS(Financials!$76:$76,Financials!$3:$3,Valuation!AB$3)</f>
        <v>-43.696104413884839</v>
      </c>
      <c r="AC23" s="8" t="s">
        <v>75</v>
      </c>
      <c r="AG23" s="11"/>
      <c r="AH23" s="11"/>
      <c r="AI23" s="11"/>
    </row>
    <row r="24" spans="1:35" x14ac:dyDescent="0.2">
      <c r="B24" s="1" t="s">
        <v>370</v>
      </c>
      <c r="C24" s="45" t="s">
        <v>187</v>
      </c>
      <c r="F24" s="46">
        <f ca="1">+SUMIFS(Debt!$44:$44,Debt!$3:$3,Valuation!F$3)</f>
        <v>0</v>
      </c>
      <c r="G24" s="46">
        <f ca="1">+SUMIFS(Debt!$44:$44,Debt!$3:$3,Valuation!G$3)</f>
        <v>0</v>
      </c>
      <c r="H24" s="46">
        <f ca="1">+SUMIFS(Debt!$44:$44,Debt!$3:$3,Valuation!H$3)</f>
        <v>0</v>
      </c>
      <c r="I24" s="46">
        <f ca="1">+SUMIFS(Debt!$44:$44,Debt!$3:$3,Valuation!I$3)</f>
        <v>0</v>
      </c>
      <c r="J24" s="46">
        <f ca="1">+SUMIFS(Debt!$44:$44,Debt!$3:$3,Valuation!J$3)</f>
        <v>0</v>
      </c>
      <c r="K24" s="46">
        <f ca="1">+SUMIFS(Debt!$44:$44,Debt!$3:$3,Valuation!K$3)</f>
        <v>0</v>
      </c>
      <c r="L24" s="46">
        <f ca="1">+SUMIFS(Debt!$44:$44,Debt!$3:$3,Valuation!L$3)</f>
        <v>0</v>
      </c>
      <c r="M24" s="46">
        <f ca="1">+SUMIFS(Debt!$44:$44,Debt!$3:$3,Valuation!M$3)</f>
        <v>0</v>
      </c>
      <c r="N24" s="46">
        <f ca="1">+SUMIFS(Debt!$44:$44,Debt!$3:$3,Valuation!N$3)</f>
        <v>0</v>
      </c>
      <c r="O24" s="46">
        <f ca="1">+SUMIFS(Debt!$44:$44,Debt!$3:$3,Valuation!O$3)</f>
        <v>0</v>
      </c>
      <c r="P24" s="46">
        <f ca="1">+SUMIFS(Debt!$44:$44,Debt!$3:$3,Valuation!P$3)</f>
        <v>0</v>
      </c>
      <c r="Q24" s="46">
        <f ca="1">+SUMIFS(Debt!$44:$44,Debt!$3:$3,Valuation!Q$3)</f>
        <v>0</v>
      </c>
      <c r="R24" s="46">
        <f ca="1">+SUMIFS(Debt!$44:$44,Debt!$3:$3,Valuation!R$3)</f>
        <v>0</v>
      </c>
      <c r="S24" s="46">
        <f ca="1">+SUMIFS(Debt!$44:$44,Debt!$3:$3,Valuation!S$3)</f>
        <v>0</v>
      </c>
      <c r="T24" s="46">
        <f ca="1">+SUMIFS(Debt!$44:$44,Debt!$3:$3,Valuation!T$3)</f>
        <v>0</v>
      </c>
      <c r="U24" s="46">
        <f ca="1">+SUMIFS(Debt!$44:$44,Debt!$3:$3,Valuation!U$3)</f>
        <v>0</v>
      </c>
      <c r="V24" s="46">
        <f ca="1">+SUMIFS(Debt!$44:$44,Debt!$3:$3,Valuation!V$3)</f>
        <v>0</v>
      </c>
      <c r="W24" s="46">
        <f ca="1">+SUMIFS(Debt!$44:$44,Debt!$3:$3,Valuation!W$3)</f>
        <v>0</v>
      </c>
      <c r="X24" s="46">
        <f ca="1">+SUMIFS(Debt!$44:$44,Debt!$3:$3,Valuation!X$3)</f>
        <v>0</v>
      </c>
      <c r="Y24" s="46">
        <f ca="1">+SUMIFS(Debt!$44:$44,Debt!$3:$3,Valuation!Y$3)</f>
        <v>0</v>
      </c>
      <c r="Z24" s="46">
        <f ca="1">+SUMIFS(Debt!$44:$44,Debt!$3:$3,Valuation!Z$3)</f>
        <v>0</v>
      </c>
      <c r="AA24" s="46">
        <f ca="1">+SUMIFS(Debt!$44:$44,Debt!$3:$3,Valuation!AA$3)</f>
        <v>0</v>
      </c>
      <c r="AB24" s="46">
        <f ca="1">+SUMIFS(Debt!$44:$44,Debt!$3:$3,Valuation!AB$3)</f>
        <v>0</v>
      </c>
      <c r="AC24" s="8" t="s">
        <v>75</v>
      </c>
      <c r="AE24" s="134"/>
      <c r="AG24" s="11"/>
      <c r="AH24" s="11"/>
      <c r="AI24" s="11"/>
    </row>
    <row r="25" spans="1:35" s="2" customFormat="1" x14ac:dyDescent="0.2">
      <c r="B25" s="18" t="s">
        <v>369</v>
      </c>
      <c r="C25" s="45" t="s">
        <v>187</v>
      </c>
      <c r="D25" s="18"/>
      <c r="F25" s="13">
        <f t="shared" ref="F25:AB25" ca="1" si="10">+SUM(F19:F24)</f>
        <v>-21.715759344022757</v>
      </c>
      <c r="G25" s="13">
        <f t="shared" ca="1" si="10"/>
        <v>62.901486986099343</v>
      </c>
      <c r="H25" s="13">
        <f t="shared" ca="1" si="10"/>
        <v>27.62594573240608</v>
      </c>
      <c r="I25" s="13">
        <f t="shared" ca="1" si="10"/>
        <v>4.7119538498570535</v>
      </c>
      <c r="J25" s="13">
        <f t="shared" ca="1" si="10"/>
        <v>82.146760529360193</v>
      </c>
      <c r="K25" s="13">
        <f t="shared" ca="1" si="10"/>
        <v>97.039564122706167</v>
      </c>
      <c r="L25" s="13">
        <f t="shared" ca="1" si="10"/>
        <v>24.984991048779165</v>
      </c>
      <c r="M25" s="13">
        <f t="shared" ca="1" si="10"/>
        <v>72.947105411723598</v>
      </c>
      <c r="N25" s="13">
        <f t="shared" ca="1" si="10"/>
        <v>158.29820852063881</v>
      </c>
      <c r="O25" s="13">
        <f t="shared" ca="1" si="10"/>
        <v>172.3590708899228</v>
      </c>
      <c r="P25" s="13">
        <f t="shared" ca="1" si="10"/>
        <v>92.200056125559499</v>
      </c>
      <c r="Q25" s="13">
        <f t="shared" ca="1" si="10"/>
        <v>88.508669293297402</v>
      </c>
      <c r="R25" s="13">
        <f t="shared" ca="1" si="10"/>
        <v>183.16254287948246</v>
      </c>
      <c r="S25" s="13">
        <f t="shared" ca="1" si="10"/>
        <v>199.63591741870829</v>
      </c>
      <c r="T25" s="13">
        <f t="shared" ca="1" si="10"/>
        <v>110.3345994154343</v>
      </c>
      <c r="U25" s="13">
        <f t="shared" ca="1" si="10"/>
        <v>100.80153017590573</v>
      </c>
      <c r="V25" s="13">
        <f t="shared" ca="1" si="10"/>
        <v>208.48396800303078</v>
      </c>
      <c r="W25" s="13">
        <f t="shared" ca="1" si="10"/>
        <v>226.37616818477903</v>
      </c>
      <c r="X25" s="13">
        <f t="shared" ca="1" si="10"/>
        <v>126.35155011867596</v>
      </c>
      <c r="Y25" s="13">
        <f t="shared" ca="1" si="10"/>
        <v>115.27926939305173</v>
      </c>
      <c r="Z25" s="13">
        <f t="shared" ca="1" si="10"/>
        <v>234.70553405879815</v>
      </c>
      <c r="AA25" s="13">
        <f t="shared" ca="1" si="10"/>
        <v>255.08933487110261</v>
      </c>
      <c r="AB25" s="13">
        <f t="shared" ca="1" si="10"/>
        <v>143.65232608203837</v>
      </c>
      <c r="AC25" s="83" t="s">
        <v>75</v>
      </c>
      <c r="AE25" s="11"/>
    </row>
    <row r="26" spans="1:35" x14ac:dyDescent="0.2">
      <c r="B26" s="19" t="s">
        <v>431</v>
      </c>
      <c r="C26" s="45" t="s">
        <v>187</v>
      </c>
      <c r="F26" s="11">
        <f t="shared" ref="F26:AB26" ca="1" si="11">+F25/F$14</f>
        <v>-21.087346073231622</v>
      </c>
      <c r="G26" s="11">
        <f t="shared" ca="1" si="11"/>
        <v>59.294522916504853</v>
      </c>
      <c r="H26" s="11">
        <f t="shared" ca="1" si="11"/>
        <v>25.280029863983074</v>
      </c>
      <c r="I26" s="11">
        <f t="shared" ca="1" si="11"/>
        <v>4.1884034220951589</v>
      </c>
      <c r="J26" s="11">
        <f t="shared" ca="1" si="11"/>
        <v>70.906300120978642</v>
      </c>
      <c r="K26" s="11">
        <f t="shared" ca="1" si="11"/>
        <v>81.311127173306971</v>
      </c>
      <c r="L26" s="11">
        <f t="shared" ca="1" si="11"/>
        <v>20.32296662895018</v>
      </c>
      <c r="M26" s="11">
        <f t="shared" ca="1" si="11"/>
        <v>57.637219090744573</v>
      </c>
      <c r="N26" s="11">
        <f t="shared" ca="1" si="11"/>
        <v>121.45568854406585</v>
      </c>
      <c r="O26" s="11">
        <f t="shared" ca="1" si="11"/>
        <v>128.37568272560571</v>
      </c>
      <c r="P26" s="11">
        <f t="shared" ca="1" si="11"/>
        <v>66.663263207146287</v>
      </c>
      <c r="Q26" s="11">
        <f t="shared" ca="1" si="11"/>
        <v>62.142411150252705</v>
      </c>
      <c r="R26" s="11">
        <f t="shared" ca="1" si="11"/>
        <v>124.87797808973858</v>
      </c>
      <c r="S26" s="11">
        <f t="shared" ca="1" si="11"/>
        <v>132.12793133346364</v>
      </c>
      <c r="T26" s="11">
        <f t="shared" ca="1" si="11"/>
        <v>70.888280110387697</v>
      </c>
      <c r="U26" s="11">
        <f t="shared" ca="1" si="11"/>
        <v>62.90959526243936</v>
      </c>
      <c r="V26" s="11">
        <f t="shared" ca="1" si="11"/>
        <v>126.34828050199141</v>
      </c>
      <c r="W26" s="11">
        <f t="shared" ca="1" si="11"/>
        <v>133.17850567259413</v>
      </c>
      <c r="X26" s="11">
        <f t="shared" ca="1" si="11"/>
        <v>72.15904368992183</v>
      </c>
      <c r="Y26" s="11">
        <f t="shared" ca="1" si="11"/>
        <v>63.951164824238063</v>
      </c>
      <c r="Z26" s="11">
        <f t="shared" ca="1" si="11"/>
        <v>126.4350483761562</v>
      </c>
      <c r="AA26" s="11">
        <f t="shared" ca="1" si="11"/>
        <v>133.39612440875939</v>
      </c>
      <c r="AB26" s="11">
        <f t="shared" ca="1" si="11"/>
        <v>72.923975222229586</v>
      </c>
      <c r="AC26" s="8" t="s">
        <v>75</v>
      </c>
      <c r="AE26" s="11"/>
    </row>
    <row r="27" spans="1:35" x14ac:dyDescent="0.2">
      <c r="AC27" s="8" t="s">
        <v>75</v>
      </c>
      <c r="AE27" s="11"/>
    </row>
    <row r="28" spans="1:35" s="2" customFormat="1" x14ac:dyDescent="0.2">
      <c r="B28" s="2" t="s">
        <v>381</v>
      </c>
      <c r="C28" s="45" t="s">
        <v>187</v>
      </c>
      <c r="D28" s="228">
        <f ca="1">+Ctrl!$G$21</f>
        <v>0.03</v>
      </c>
      <c r="F28" s="24">
        <f t="shared" ref="F28:AA28" ca="1" si="12">+(SUM(C$25:F$25)*F$12)*(1+$D28)/($D$14-$D28)</f>
        <v>0</v>
      </c>
      <c r="G28" s="24">
        <f t="shared" ca="1" si="12"/>
        <v>0</v>
      </c>
      <c r="H28" s="24">
        <f t="shared" ca="1" si="12"/>
        <v>0</v>
      </c>
      <c r="I28" s="24">
        <f t="shared" ca="1" si="12"/>
        <v>0</v>
      </c>
      <c r="J28" s="24">
        <f t="shared" ca="1" si="12"/>
        <v>0</v>
      </c>
      <c r="K28" s="24">
        <f t="shared" ca="1" si="12"/>
        <v>0</v>
      </c>
      <c r="L28" s="24">
        <f t="shared" ca="1" si="12"/>
        <v>0</v>
      </c>
      <c r="M28" s="24">
        <f t="shared" ca="1" si="12"/>
        <v>0</v>
      </c>
      <c r="N28" s="24">
        <f t="shared" ca="1" si="12"/>
        <v>0</v>
      </c>
      <c r="O28" s="24">
        <f t="shared" ca="1" si="12"/>
        <v>0</v>
      </c>
      <c r="P28" s="24">
        <f t="shared" ca="1" si="12"/>
        <v>0</v>
      </c>
      <c r="Q28" s="24">
        <f t="shared" ca="1" si="12"/>
        <v>0</v>
      </c>
      <c r="R28" s="24">
        <f t="shared" ca="1" si="12"/>
        <v>0</v>
      </c>
      <c r="S28" s="24">
        <f t="shared" ca="1" si="12"/>
        <v>0</v>
      </c>
      <c r="T28" s="24">
        <f t="shared" ca="1" si="12"/>
        <v>0</v>
      </c>
      <c r="U28" s="24">
        <f t="shared" ca="1" si="12"/>
        <v>0</v>
      </c>
      <c r="V28" s="24">
        <f t="shared" ca="1" si="12"/>
        <v>0</v>
      </c>
      <c r="W28" s="24">
        <f t="shared" ca="1" si="12"/>
        <v>0</v>
      </c>
      <c r="X28" s="24">
        <f t="shared" ca="1" si="12"/>
        <v>0</v>
      </c>
      <c r="Y28" s="24">
        <f t="shared" ca="1" si="12"/>
        <v>0</v>
      </c>
      <c r="Z28" s="24">
        <f t="shared" ca="1" si="12"/>
        <v>0</v>
      </c>
      <c r="AA28" s="24">
        <f t="shared" ca="1" si="12"/>
        <v>0</v>
      </c>
      <c r="AB28" s="24">
        <f ca="1">+(SUM(Y$25:AB$25)*AB$12)*(1+$D28)/($D$14-$D28)</f>
        <v>8117.7711403909525</v>
      </c>
      <c r="AC28" s="8" t="s">
        <v>75</v>
      </c>
      <c r="AE28" s="13"/>
    </row>
    <row r="29" spans="1:35" s="2" customFormat="1" x14ac:dyDescent="0.2">
      <c r="B29" s="19" t="s">
        <v>431</v>
      </c>
      <c r="C29" s="45" t="s">
        <v>187</v>
      </c>
      <c r="D29" s="228"/>
      <c r="F29" s="11">
        <f t="shared" ref="F29:AB29" ca="1" si="13">+F28/F$14</f>
        <v>0</v>
      </c>
      <c r="G29" s="11">
        <f t="shared" ca="1" si="13"/>
        <v>0</v>
      </c>
      <c r="H29" s="11">
        <f t="shared" ca="1" si="13"/>
        <v>0</v>
      </c>
      <c r="I29" s="11">
        <f t="shared" ca="1" si="13"/>
        <v>0</v>
      </c>
      <c r="J29" s="11">
        <f t="shared" ca="1" si="13"/>
        <v>0</v>
      </c>
      <c r="K29" s="11">
        <f t="shared" ca="1" si="13"/>
        <v>0</v>
      </c>
      <c r="L29" s="11">
        <f t="shared" ca="1" si="13"/>
        <v>0</v>
      </c>
      <c r="M29" s="11">
        <f t="shared" ca="1" si="13"/>
        <v>0</v>
      </c>
      <c r="N29" s="11">
        <f t="shared" ca="1" si="13"/>
        <v>0</v>
      </c>
      <c r="O29" s="11">
        <f t="shared" ca="1" si="13"/>
        <v>0</v>
      </c>
      <c r="P29" s="11">
        <f t="shared" ca="1" si="13"/>
        <v>0</v>
      </c>
      <c r="Q29" s="11">
        <f t="shared" ca="1" si="13"/>
        <v>0</v>
      </c>
      <c r="R29" s="11">
        <f t="shared" ca="1" si="13"/>
        <v>0</v>
      </c>
      <c r="S29" s="11">
        <f t="shared" ca="1" si="13"/>
        <v>0</v>
      </c>
      <c r="T29" s="11">
        <f t="shared" ca="1" si="13"/>
        <v>0</v>
      </c>
      <c r="U29" s="11">
        <f t="shared" ca="1" si="13"/>
        <v>0</v>
      </c>
      <c r="V29" s="11">
        <f t="shared" ca="1" si="13"/>
        <v>0</v>
      </c>
      <c r="W29" s="11">
        <f t="shared" ca="1" si="13"/>
        <v>0</v>
      </c>
      <c r="X29" s="11">
        <f t="shared" ca="1" si="13"/>
        <v>0</v>
      </c>
      <c r="Y29" s="11">
        <f t="shared" ca="1" si="13"/>
        <v>0</v>
      </c>
      <c r="Z29" s="11">
        <f t="shared" ca="1" si="13"/>
        <v>0</v>
      </c>
      <c r="AA29" s="11">
        <f t="shared" ca="1" si="13"/>
        <v>0</v>
      </c>
      <c r="AB29" s="11">
        <f t="shared" ca="1" si="13"/>
        <v>4120.9227699071607</v>
      </c>
      <c r="AC29" s="8" t="s">
        <v>75</v>
      </c>
      <c r="AE29" s="13"/>
    </row>
    <row r="30" spans="1:35" x14ac:dyDescent="0.2">
      <c r="AC30" s="8" t="s">
        <v>75</v>
      </c>
      <c r="AE30" s="11"/>
    </row>
    <row r="31" spans="1:35" x14ac:dyDescent="0.2">
      <c r="B31" s="34" t="s">
        <v>387</v>
      </c>
      <c r="C31" s="45" t="s">
        <v>187</v>
      </c>
      <c r="E31" s="209">
        <f ca="1">-$D$99</f>
        <v>-4491.66399</v>
      </c>
      <c r="F31" s="13">
        <f t="shared" ref="F31:AB31" ca="1" si="14">+F28+F25</f>
        <v>-21.715759344022757</v>
      </c>
      <c r="G31" s="13">
        <f t="shared" ca="1" si="14"/>
        <v>62.901486986099343</v>
      </c>
      <c r="H31" s="13">
        <f t="shared" ca="1" si="14"/>
        <v>27.62594573240608</v>
      </c>
      <c r="I31" s="13">
        <f t="shared" ca="1" si="14"/>
        <v>4.7119538498570535</v>
      </c>
      <c r="J31" s="13">
        <f t="shared" ca="1" si="14"/>
        <v>82.146760529360193</v>
      </c>
      <c r="K31" s="13">
        <f t="shared" ca="1" si="14"/>
        <v>97.039564122706167</v>
      </c>
      <c r="L31" s="13">
        <f t="shared" ca="1" si="14"/>
        <v>24.984991048779165</v>
      </c>
      <c r="M31" s="13">
        <f t="shared" ca="1" si="14"/>
        <v>72.947105411723598</v>
      </c>
      <c r="N31" s="13">
        <f t="shared" ca="1" si="14"/>
        <v>158.29820852063881</v>
      </c>
      <c r="O31" s="13">
        <f t="shared" ca="1" si="14"/>
        <v>172.3590708899228</v>
      </c>
      <c r="P31" s="13">
        <f t="shared" ca="1" si="14"/>
        <v>92.200056125559499</v>
      </c>
      <c r="Q31" s="13">
        <f t="shared" ca="1" si="14"/>
        <v>88.508669293297402</v>
      </c>
      <c r="R31" s="13">
        <f t="shared" ca="1" si="14"/>
        <v>183.16254287948246</v>
      </c>
      <c r="S31" s="13">
        <f t="shared" ca="1" si="14"/>
        <v>199.63591741870829</v>
      </c>
      <c r="T31" s="13">
        <f t="shared" ca="1" si="14"/>
        <v>110.3345994154343</v>
      </c>
      <c r="U31" s="13">
        <f t="shared" ca="1" si="14"/>
        <v>100.80153017590573</v>
      </c>
      <c r="V31" s="13">
        <f t="shared" ca="1" si="14"/>
        <v>208.48396800303078</v>
      </c>
      <c r="W31" s="13">
        <f t="shared" ca="1" si="14"/>
        <v>226.37616818477903</v>
      </c>
      <c r="X31" s="13">
        <f t="shared" ca="1" si="14"/>
        <v>126.35155011867596</v>
      </c>
      <c r="Y31" s="13">
        <f t="shared" ca="1" si="14"/>
        <v>115.27926939305173</v>
      </c>
      <c r="Z31" s="13">
        <f t="shared" ca="1" si="14"/>
        <v>234.70553405879815</v>
      </c>
      <c r="AA31" s="13">
        <f t="shared" ca="1" si="14"/>
        <v>255.08933487110261</v>
      </c>
      <c r="AB31" s="13">
        <f t="shared" ca="1" si="14"/>
        <v>8261.4234664729902</v>
      </c>
      <c r="AC31" s="8" t="s">
        <v>75</v>
      </c>
    </row>
    <row r="32" spans="1:35" s="25" customFormat="1" x14ac:dyDescent="0.2">
      <c r="B32" s="26" t="s">
        <v>634</v>
      </c>
      <c r="C32" s="116" t="s">
        <v>177</v>
      </c>
      <c r="E32" s="218"/>
      <c r="F32" s="70">
        <f t="shared" ref="F32:AA32" ca="1" si="15">+IFERROR(F25/F19,"NM")</f>
        <v>-8.808837647243617E-2</v>
      </c>
      <c r="G32" s="70">
        <f t="shared" ca="1" si="15"/>
        <v>0.25822511557169892</v>
      </c>
      <c r="H32" s="70">
        <f t="shared" ca="1" si="15"/>
        <v>0.21048702603301381</v>
      </c>
      <c r="I32" s="70">
        <f t="shared" ca="1" si="15"/>
        <v>2.5330466701108219E-2</v>
      </c>
      <c r="J32" s="70">
        <f t="shared" ca="1" si="15"/>
        <v>0.27585227600046536</v>
      </c>
      <c r="K32" s="70">
        <f t="shared" ca="1" si="15"/>
        <v>0.34059746464548785</v>
      </c>
      <c r="L32" s="70">
        <f t="shared" ca="1" si="15"/>
        <v>0.15586659041176462</v>
      </c>
      <c r="M32" s="70">
        <f t="shared" ca="1" si="15"/>
        <v>0.37589831874863783</v>
      </c>
      <c r="N32" s="70">
        <f t="shared" ca="1" si="15"/>
        <v>0.48862748305669562</v>
      </c>
      <c r="O32" s="70">
        <f t="shared" ca="1" si="15"/>
        <v>0.56289504842144711</v>
      </c>
      <c r="P32" s="70">
        <f t="shared" ca="1" si="15"/>
        <v>0.5507871885650788</v>
      </c>
      <c r="Q32" s="70">
        <f t="shared" ca="1" si="15"/>
        <v>0.40786698531066518</v>
      </c>
      <c r="R32" s="70">
        <f t="shared" ca="1" si="15"/>
        <v>0.50310486494145457</v>
      </c>
      <c r="S32" s="70">
        <f t="shared" ca="1" si="15"/>
        <v>0.58047072653870324</v>
      </c>
      <c r="T32" s="70">
        <f t="shared" ca="1" si="15"/>
        <v>0.58387897740133754</v>
      </c>
      <c r="U32" s="70">
        <f t="shared" ca="1" si="15"/>
        <v>0.42331501890116546</v>
      </c>
      <c r="V32" s="70">
        <f t="shared" ca="1" si="15"/>
        <v>0.51767694170771372</v>
      </c>
      <c r="W32" s="70">
        <f t="shared" ca="1" si="15"/>
        <v>0.59447415082508948</v>
      </c>
      <c r="X32" s="70">
        <f t="shared" ca="1" si="15"/>
        <v>0.61006170209562605</v>
      </c>
      <c r="Y32" s="70">
        <f t="shared" ca="1" si="15"/>
        <v>0.44256680424386702</v>
      </c>
      <c r="Z32" s="70">
        <f t="shared" ca="1" si="15"/>
        <v>0.52882824737909906</v>
      </c>
      <c r="AA32" s="70">
        <f t="shared" ca="1" si="15"/>
        <v>0.60738067456248102</v>
      </c>
      <c r="AB32" s="70">
        <f ca="1">+IFERROR(AB25/AB19,"NM")</f>
        <v>0.63468756493389977</v>
      </c>
      <c r="AC32" s="8" t="s">
        <v>75</v>
      </c>
    </row>
    <row r="33" spans="1:29" x14ac:dyDescent="0.2">
      <c r="B33" s="34"/>
      <c r="C33" s="45"/>
      <c r="E33" s="209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8" t="s">
        <v>75</v>
      </c>
    </row>
    <row r="34" spans="1:29" s="3" customFormat="1" x14ac:dyDescent="0.2">
      <c r="A34" s="17" t="s">
        <v>75</v>
      </c>
      <c r="B34" s="3" t="s">
        <v>445</v>
      </c>
      <c r="C34" s="332"/>
      <c r="AC34" s="87" t="s">
        <v>75</v>
      </c>
    </row>
    <row r="35" spans="1:29" x14ac:dyDescent="0.2">
      <c r="B35" s="1" t="s">
        <v>389</v>
      </c>
      <c r="C35" s="45" t="s">
        <v>187</v>
      </c>
      <c r="E35" s="256"/>
      <c r="F35" s="11">
        <f t="shared" ref="F35:AB35" ca="1" si="16">+F31/F14</f>
        <v>-21.087346073231622</v>
      </c>
      <c r="G35" s="11">
        <f t="shared" ca="1" si="16"/>
        <v>59.294522916504853</v>
      </c>
      <c r="H35" s="11">
        <f t="shared" ca="1" si="16"/>
        <v>25.280029863983074</v>
      </c>
      <c r="I35" s="11">
        <f t="shared" ca="1" si="16"/>
        <v>4.1884034220951589</v>
      </c>
      <c r="J35" s="11">
        <f t="shared" ca="1" si="16"/>
        <v>70.906300120978642</v>
      </c>
      <c r="K35" s="11">
        <f t="shared" ca="1" si="16"/>
        <v>81.311127173306971</v>
      </c>
      <c r="L35" s="11">
        <f t="shared" ca="1" si="16"/>
        <v>20.32296662895018</v>
      </c>
      <c r="M35" s="11">
        <f t="shared" ca="1" si="16"/>
        <v>57.637219090744573</v>
      </c>
      <c r="N35" s="11">
        <f t="shared" ca="1" si="16"/>
        <v>121.45568854406585</v>
      </c>
      <c r="O35" s="11">
        <f t="shared" ca="1" si="16"/>
        <v>128.37568272560571</v>
      </c>
      <c r="P35" s="11">
        <f t="shared" ca="1" si="16"/>
        <v>66.663263207146287</v>
      </c>
      <c r="Q35" s="11">
        <f t="shared" ca="1" si="16"/>
        <v>62.142411150252705</v>
      </c>
      <c r="R35" s="11">
        <f t="shared" ca="1" si="16"/>
        <v>124.87797808973858</v>
      </c>
      <c r="S35" s="11">
        <f t="shared" ca="1" si="16"/>
        <v>132.12793133346364</v>
      </c>
      <c r="T35" s="11">
        <f t="shared" ca="1" si="16"/>
        <v>70.888280110387697</v>
      </c>
      <c r="U35" s="11">
        <f t="shared" ca="1" si="16"/>
        <v>62.90959526243936</v>
      </c>
      <c r="V35" s="11">
        <f t="shared" ca="1" si="16"/>
        <v>126.34828050199141</v>
      </c>
      <c r="W35" s="11">
        <f t="shared" ca="1" si="16"/>
        <v>133.17850567259413</v>
      </c>
      <c r="X35" s="11">
        <f t="shared" ca="1" si="16"/>
        <v>72.15904368992183</v>
      </c>
      <c r="Y35" s="11">
        <f t="shared" ca="1" si="16"/>
        <v>63.951164824238063</v>
      </c>
      <c r="Z35" s="11">
        <f t="shared" ca="1" si="16"/>
        <v>126.4350483761562</v>
      </c>
      <c r="AA35" s="11">
        <f t="shared" ca="1" si="16"/>
        <v>133.39612440875939</v>
      </c>
      <c r="AB35" s="11">
        <f t="shared" ca="1" si="16"/>
        <v>4193.84674512939</v>
      </c>
      <c r="AC35" s="8" t="s">
        <v>75</v>
      </c>
    </row>
    <row r="36" spans="1:29" x14ac:dyDescent="0.2">
      <c r="C36" s="45"/>
      <c r="E36" s="256"/>
      <c r="AC36" s="8" t="s">
        <v>75</v>
      </c>
    </row>
    <row r="37" spans="1:29" x14ac:dyDescent="0.2">
      <c r="B37" s="1" t="s">
        <v>390</v>
      </c>
      <c r="C37" s="45" t="s">
        <v>187</v>
      </c>
      <c r="D37" s="11">
        <f ca="1">+SUM(F35:AB35)</f>
        <v>5916.6089661694823</v>
      </c>
      <c r="E37" s="256"/>
      <c r="F37" s="219" t="s">
        <v>419</v>
      </c>
      <c r="G37" s="220">
        <f ca="1">+SUM(F26:AB26)</f>
        <v>1795.686196262322</v>
      </c>
      <c r="H37" s="221">
        <f ca="1">+G37/D$37</f>
        <v>0.30349921830728677</v>
      </c>
      <c r="AC37" s="8" t="s">
        <v>75</v>
      </c>
    </row>
    <row r="38" spans="1:29" x14ac:dyDescent="0.2">
      <c r="B38" s="1" t="s">
        <v>391</v>
      </c>
      <c r="C38" s="45" t="s">
        <v>346</v>
      </c>
      <c r="D38" s="199">
        <f ca="1">+SUMIFS(Financials!$25:$25,Financials!$3:$3,Valuation!E$3)</f>
        <v>748610.66500000004</v>
      </c>
      <c r="E38" s="256"/>
      <c r="F38" s="222" t="s">
        <v>420</v>
      </c>
      <c r="G38" s="223">
        <f ca="1">+SUM(F29:AB29)</f>
        <v>4120.9227699071607</v>
      </c>
      <c r="H38" s="224">
        <f ca="1">+G38/D$37</f>
        <v>0.69650078169271334</v>
      </c>
      <c r="AC38" s="8" t="s">
        <v>75</v>
      </c>
    </row>
    <row r="39" spans="1:29" x14ac:dyDescent="0.2">
      <c r="E39" s="256"/>
      <c r="AC39" s="8" t="s">
        <v>75</v>
      </c>
    </row>
    <row r="40" spans="1:29" x14ac:dyDescent="0.2">
      <c r="B40" s="219" t="s">
        <v>392</v>
      </c>
      <c r="C40" s="231" t="s">
        <v>338</v>
      </c>
      <c r="D40" s="232">
        <f ca="1">+D37/(D38/1000)</f>
        <v>7.9034526794638733</v>
      </c>
      <c r="E40" s="256"/>
      <c r="F40" s="353"/>
      <c r="AC40" s="8" t="s">
        <v>75</v>
      </c>
    </row>
    <row r="41" spans="1:29" x14ac:dyDescent="0.2">
      <c r="B41" s="154" t="s">
        <v>393</v>
      </c>
      <c r="C41" s="233" t="s">
        <v>338</v>
      </c>
      <c r="D41" s="234">
        <f ca="1">+SharePrice</f>
        <v>6</v>
      </c>
      <c r="E41" s="256"/>
      <c r="F41" s="256"/>
      <c r="G41" s="256"/>
      <c r="H41" s="256"/>
      <c r="I41" s="256"/>
      <c r="J41" s="256"/>
      <c r="K41" s="256"/>
      <c r="L41" s="256"/>
      <c r="M41" s="256"/>
      <c r="N41" s="256"/>
      <c r="O41" s="256"/>
      <c r="P41" s="256"/>
      <c r="Q41" s="256"/>
      <c r="R41" s="256"/>
      <c r="S41" s="256"/>
      <c r="T41" s="256"/>
      <c r="U41" s="256"/>
      <c r="V41" s="256"/>
      <c r="W41" s="256"/>
      <c r="X41" s="256"/>
      <c r="Y41" s="256"/>
      <c r="Z41" s="256"/>
      <c r="AA41" s="256"/>
      <c r="AB41" s="256"/>
      <c r="AC41" s="8" t="s">
        <v>75</v>
      </c>
    </row>
    <row r="42" spans="1:29" x14ac:dyDescent="0.2">
      <c r="B42" s="154" t="s">
        <v>394</v>
      </c>
      <c r="C42" s="233" t="s">
        <v>177</v>
      </c>
      <c r="D42" s="237">
        <f ca="1">+D40/D41-1</f>
        <v>0.31724211324397888</v>
      </c>
      <c r="E42" s="256"/>
      <c r="F42" s="256"/>
      <c r="G42" s="256"/>
      <c r="H42" s="256"/>
      <c r="I42" s="256"/>
      <c r="J42" s="256"/>
      <c r="K42" s="256"/>
      <c r="L42" s="256"/>
      <c r="M42" s="256"/>
      <c r="N42" s="256"/>
      <c r="O42" s="256"/>
      <c r="P42" s="256"/>
      <c r="Q42" s="256"/>
      <c r="R42" s="256"/>
      <c r="S42" s="256"/>
      <c r="T42" s="256"/>
      <c r="U42" s="256"/>
      <c r="V42" s="256"/>
      <c r="W42" s="256"/>
      <c r="X42" s="256"/>
      <c r="Y42" s="256"/>
      <c r="Z42" s="256"/>
      <c r="AA42" s="256"/>
      <c r="AB42" s="256"/>
      <c r="AC42" s="8" t="s">
        <v>75</v>
      </c>
    </row>
    <row r="43" spans="1:29" x14ac:dyDescent="0.2">
      <c r="B43" s="154" t="s">
        <v>408</v>
      </c>
      <c r="C43" s="233" t="s">
        <v>177</v>
      </c>
      <c r="D43" s="237">
        <f ca="1">+XIRR(E31:AB31,$E$5:$AB$5)</f>
        <v>0.18820490241050722</v>
      </c>
      <c r="E43" s="256"/>
      <c r="F43" s="256"/>
      <c r="G43" s="256"/>
      <c r="H43" s="256"/>
      <c r="I43" s="256"/>
      <c r="J43" s="256"/>
      <c r="K43" s="256"/>
      <c r="L43" s="256"/>
      <c r="M43" s="256"/>
      <c r="N43" s="256"/>
      <c r="O43" s="256"/>
      <c r="P43" s="256"/>
      <c r="Q43" s="256"/>
      <c r="R43" s="256"/>
      <c r="S43" s="256"/>
      <c r="T43" s="256"/>
      <c r="U43" s="256"/>
      <c r="V43" s="256"/>
      <c r="W43" s="256"/>
      <c r="X43" s="256"/>
      <c r="Y43" s="256"/>
      <c r="Z43" s="256"/>
      <c r="AA43" s="256"/>
      <c r="AB43" s="256"/>
      <c r="AC43" s="8" t="s">
        <v>75</v>
      </c>
    </row>
    <row r="44" spans="1:29" x14ac:dyDescent="0.2">
      <c r="B44" s="154" t="s">
        <v>430</v>
      </c>
      <c r="C44" s="233" t="s">
        <v>75</v>
      </c>
      <c r="D44" s="355">
        <f ca="1">+(SUMPRODUCT($28:$28,$12:$12)+SUMPRODUCT($100:$100,$12:$12))/SUMPRODUCT($97:$97,$12:$12)</f>
        <v>7.6528804638116696</v>
      </c>
      <c r="E44" s="256"/>
      <c r="F44" s="256"/>
      <c r="G44" s="256"/>
      <c r="H44" s="256"/>
      <c r="I44" s="256"/>
      <c r="J44" s="256"/>
      <c r="K44" s="256"/>
      <c r="L44" s="256"/>
      <c r="M44" s="256"/>
      <c r="N44" s="256"/>
      <c r="O44" s="256"/>
      <c r="P44" s="256"/>
      <c r="Q44" s="256"/>
      <c r="R44" s="256"/>
      <c r="S44" s="256"/>
      <c r="T44" s="256"/>
      <c r="U44" s="256"/>
      <c r="V44" s="256"/>
      <c r="W44" s="256"/>
      <c r="X44" s="256"/>
      <c r="Y44" s="256"/>
      <c r="Z44" s="256"/>
      <c r="AA44" s="256"/>
      <c r="AB44" s="256"/>
      <c r="AC44" s="8" t="s">
        <v>75</v>
      </c>
    </row>
    <row r="45" spans="1:29" x14ac:dyDescent="0.2">
      <c r="B45" s="222" t="s">
        <v>645</v>
      </c>
      <c r="C45" s="235" t="s">
        <v>177</v>
      </c>
      <c r="D45" s="356">
        <f ca="1">+SUM(Y25:AB25)/AB28</f>
        <v>9.2233009708737865E-2</v>
      </c>
      <c r="E45" s="256"/>
      <c r="F45" s="256"/>
      <c r="G45" s="256"/>
      <c r="H45" s="256"/>
      <c r="I45" s="256"/>
      <c r="J45" s="256"/>
      <c r="K45" s="256"/>
      <c r="L45" s="256"/>
      <c r="M45" s="256"/>
      <c r="N45" s="256"/>
      <c r="O45" s="256"/>
      <c r="P45" s="256"/>
      <c r="Q45" s="256"/>
      <c r="R45" s="256"/>
      <c r="S45" s="256"/>
      <c r="T45" s="256"/>
      <c r="U45" s="256"/>
      <c r="V45" s="256"/>
      <c r="W45" s="256"/>
      <c r="X45" s="256"/>
      <c r="Y45" s="256"/>
      <c r="Z45" s="256"/>
      <c r="AA45" s="256"/>
      <c r="AB45" s="256"/>
      <c r="AC45" s="8" t="s">
        <v>75</v>
      </c>
    </row>
    <row r="46" spans="1:29" x14ac:dyDescent="0.2">
      <c r="D46" s="134"/>
      <c r="E46" s="256"/>
      <c r="F46" s="256"/>
      <c r="G46" s="256"/>
      <c r="H46" s="256"/>
      <c r="I46" s="256"/>
      <c r="J46" s="256"/>
      <c r="K46" s="256"/>
      <c r="L46" s="256"/>
      <c r="M46" s="256"/>
      <c r="N46" s="256"/>
      <c r="O46" s="256"/>
      <c r="P46" s="256"/>
      <c r="Q46" s="256"/>
      <c r="R46" s="256"/>
      <c r="S46" s="256"/>
      <c r="T46" s="256"/>
      <c r="U46" s="256"/>
      <c r="V46" s="256"/>
      <c r="W46" s="256"/>
      <c r="X46" s="256"/>
      <c r="Y46" s="256"/>
      <c r="Z46" s="256"/>
      <c r="AA46" s="256"/>
      <c r="AB46" s="256"/>
      <c r="AC46" s="8" t="s">
        <v>75</v>
      </c>
    </row>
    <row r="47" spans="1:29" s="3" customFormat="1" x14ac:dyDescent="0.2">
      <c r="A47" s="17" t="s">
        <v>75</v>
      </c>
      <c r="B47" s="3" t="s">
        <v>647</v>
      </c>
      <c r="C47" s="332"/>
      <c r="AC47" s="87" t="s">
        <v>75</v>
      </c>
    </row>
    <row r="48" spans="1:29" x14ac:dyDescent="0.2">
      <c r="B48" s="1" t="s">
        <v>400</v>
      </c>
      <c r="C48" s="45" t="s">
        <v>187</v>
      </c>
      <c r="E48" s="256"/>
      <c r="F48" s="11">
        <f t="shared" ref="F48:AB48" ca="1" si="17">+F54*F$31</f>
        <v>-9.643942826322526</v>
      </c>
      <c r="G48" s="11">
        <f t="shared" ca="1" si="17"/>
        <v>29.022628976406633</v>
      </c>
      <c r="H48" s="11">
        <f t="shared" ca="1" si="17"/>
        <v>15.382553580270644</v>
      </c>
      <c r="I48" s="11">
        <f t="shared" ca="1" si="17"/>
        <v>2.4199863755306987</v>
      </c>
      <c r="J48" s="11">
        <f t="shared" ca="1" si="17"/>
        <v>34.471554151004241</v>
      </c>
      <c r="K48" s="11">
        <f t="shared" ca="1" si="17"/>
        <v>42.083079406334264</v>
      </c>
      <c r="L48" s="11">
        <f t="shared" ca="1" si="17"/>
        <v>13.391100706089905</v>
      </c>
      <c r="M48" s="11">
        <f t="shared" ca="1" si="17"/>
        <v>35.731662508076546</v>
      </c>
      <c r="N48" s="11">
        <f t="shared" ca="1" si="17"/>
        <v>62.769811396460931</v>
      </c>
      <c r="O48" s="11">
        <f t="shared" ca="1" si="17"/>
        <v>70.647223251794699</v>
      </c>
      <c r="P48" s="11">
        <f t="shared" ca="1" si="17"/>
        <v>47.214430346771024</v>
      </c>
      <c r="Q48" s="11">
        <f t="shared" ca="1" si="17"/>
        <v>38.664909810551755</v>
      </c>
      <c r="R48" s="11">
        <f t="shared" ca="1" si="17"/>
        <v>64.030034348161365</v>
      </c>
      <c r="S48" s="11">
        <f t="shared" ca="1" si="17"/>
        <v>72.157286254663376</v>
      </c>
      <c r="T48" s="11">
        <f t="shared" ca="1" si="17"/>
        <v>50.548958331374379</v>
      </c>
      <c r="U48" s="11">
        <f t="shared" ca="1" si="17"/>
        <v>41.869634295891188</v>
      </c>
      <c r="V48" s="11">
        <f t="shared" ca="1" si="17"/>
        <v>68.684563918494518</v>
      </c>
      <c r="W48" s="11">
        <f t="shared" ca="1" si="17"/>
        <v>77.123311607495864</v>
      </c>
      <c r="X48" s="11">
        <f t="shared" ca="1" si="17"/>
        <v>55.135478231434568</v>
      </c>
      <c r="Y48" s="11">
        <f t="shared" ca="1" si="17"/>
        <v>45.59050824230772</v>
      </c>
      <c r="Z48" s="11">
        <f t="shared" ca="1" si="17"/>
        <v>73.024614060483586</v>
      </c>
      <c r="AA48" s="11">
        <f t="shared" ca="1" si="17"/>
        <v>82.087284688508817</v>
      </c>
      <c r="AB48" s="11">
        <f t="shared" ca="1" si="17"/>
        <v>2271.8914532800727</v>
      </c>
      <c r="AC48" s="8" t="s">
        <v>75</v>
      </c>
    </row>
    <row r="49" spans="2:63" x14ac:dyDescent="0.2">
      <c r="B49" s="19" t="s">
        <v>404</v>
      </c>
      <c r="C49" s="45" t="s">
        <v>187</v>
      </c>
      <c r="E49" s="209"/>
      <c r="F49" s="11">
        <f t="shared" ref="F49:AB49" ca="1" si="18">+F48/F$15</f>
        <v>-9.471614715718637</v>
      </c>
      <c r="G49" s="11">
        <f t="shared" ca="1" si="18"/>
        <v>27.989136004522187</v>
      </c>
      <c r="H49" s="11">
        <f t="shared" ca="1" si="18"/>
        <v>14.56681232978279</v>
      </c>
      <c r="I49" s="11">
        <f t="shared" ca="1" si="18"/>
        <v>2.2511501167727421</v>
      </c>
      <c r="J49" s="11">
        <f t="shared" ca="1" si="18"/>
        <v>31.493562954517103</v>
      </c>
      <c r="K49" s="11">
        <f t="shared" ca="1" si="18"/>
        <v>37.753027977070445</v>
      </c>
      <c r="L49" s="11">
        <f t="shared" ca="1" si="18"/>
        <v>11.796248163320687</v>
      </c>
      <c r="M49" s="11">
        <f t="shared" ca="1" si="18"/>
        <v>30.91977285717817</v>
      </c>
      <c r="N49" s="11">
        <f t="shared" ca="1" si="18"/>
        <v>53.346175798138354</v>
      </c>
      <c r="O49" s="11">
        <f t="shared" ca="1" si="18"/>
        <v>58.956393777809005</v>
      </c>
      <c r="P49" s="11">
        <f t="shared" ca="1" si="18"/>
        <v>38.689571007549851</v>
      </c>
      <c r="Q49" s="11">
        <f t="shared" ca="1" si="18"/>
        <v>31.117561613995594</v>
      </c>
      <c r="R49" s="11">
        <f t="shared" ca="1" si="18"/>
        <v>50.610623544863621</v>
      </c>
      <c r="S49" s="11">
        <f t="shared" ca="1" si="18"/>
        <v>56.004315148217074</v>
      </c>
      <c r="T49" s="11">
        <f t="shared" ca="1" si="18"/>
        <v>38.524486238962595</v>
      </c>
      <c r="U49" s="11">
        <f t="shared" ca="1" si="18"/>
        <v>31.345792909207759</v>
      </c>
      <c r="V49" s="11">
        <f t="shared" ca="1" si="18"/>
        <v>50.502006589529564</v>
      </c>
      <c r="W49" s="11">
        <f t="shared" ca="1" si="18"/>
        <v>55.682471635276357</v>
      </c>
      <c r="X49" s="11">
        <f t="shared" ca="1" si="18"/>
        <v>39.088348966858035</v>
      </c>
      <c r="Y49" s="11">
        <f t="shared" ca="1" si="18"/>
        <v>31.750170505480458</v>
      </c>
      <c r="Z49" s="11">
        <f t="shared" ca="1" si="18"/>
        <v>49.947102022050743</v>
      </c>
      <c r="AA49" s="11">
        <f t="shared" ca="1" si="18"/>
        <v>55.131557393492706</v>
      </c>
      <c r="AB49" s="11">
        <f t="shared" ca="1" si="18"/>
        <v>1498.2879768280311</v>
      </c>
      <c r="AC49" s="8" t="s">
        <v>75</v>
      </c>
    </row>
    <row r="50" spans="2:63" x14ac:dyDescent="0.2">
      <c r="B50" s="1" t="s">
        <v>406</v>
      </c>
      <c r="C50" s="45" t="s">
        <v>187</v>
      </c>
      <c r="E50" s="256"/>
      <c r="F50" s="11">
        <f t="shared" ref="F50:AB50" ca="1" si="19">+F55*F$31</f>
        <v>-12.071816517700231</v>
      </c>
      <c r="G50" s="11">
        <f t="shared" ca="1" si="19"/>
        <v>33.878858009692706</v>
      </c>
      <c r="H50" s="11">
        <f t="shared" ca="1" si="19"/>
        <v>12.243392152135437</v>
      </c>
      <c r="I50" s="11">
        <f t="shared" ca="1" si="19"/>
        <v>2.2919674743263547</v>
      </c>
      <c r="J50" s="11">
        <f t="shared" ca="1" si="19"/>
        <v>47.675206378355959</v>
      </c>
      <c r="K50" s="11">
        <f t="shared" ca="1" si="19"/>
        <v>54.956484716371904</v>
      </c>
      <c r="L50" s="11">
        <f t="shared" ca="1" si="19"/>
        <v>11.59389034268926</v>
      </c>
      <c r="M50" s="11">
        <f t="shared" ca="1" si="19"/>
        <v>37.215442903647052</v>
      </c>
      <c r="N50" s="11">
        <f t="shared" ca="1" si="19"/>
        <v>95.528397124177872</v>
      </c>
      <c r="O50" s="11">
        <f t="shared" ca="1" si="19"/>
        <v>101.71184763812811</v>
      </c>
      <c r="P50" s="11">
        <f t="shared" ca="1" si="19"/>
        <v>44.985625778788474</v>
      </c>
      <c r="Q50" s="11">
        <f t="shared" ca="1" si="19"/>
        <v>49.843759482745639</v>
      </c>
      <c r="R50" s="11">
        <f t="shared" ca="1" si="19"/>
        <v>119.13250853132109</v>
      </c>
      <c r="S50" s="11">
        <f t="shared" ca="1" si="19"/>
        <v>127.47863116404491</v>
      </c>
      <c r="T50" s="11">
        <f t="shared" ca="1" si="19"/>
        <v>59.785641084059918</v>
      </c>
      <c r="U50" s="11">
        <f t="shared" ca="1" si="19"/>
        <v>58.931895880014537</v>
      </c>
      <c r="V50" s="11">
        <f t="shared" ca="1" si="19"/>
        <v>139.79940408453623</v>
      </c>
      <c r="W50" s="11">
        <f t="shared" ca="1" si="19"/>
        <v>149.25285657728318</v>
      </c>
      <c r="X50" s="11">
        <f t="shared" ca="1" si="19"/>
        <v>71.216071887241398</v>
      </c>
      <c r="Y50" s="11">
        <f t="shared" ca="1" si="19"/>
        <v>69.688761150744014</v>
      </c>
      <c r="Z50" s="11">
        <f t="shared" ca="1" si="19"/>
        <v>161.68091999831455</v>
      </c>
      <c r="AA50" s="11">
        <f t="shared" ca="1" si="19"/>
        <v>173.00205018259379</v>
      </c>
      <c r="AB50" s="11">
        <f t="shared" ca="1" si="19"/>
        <v>5989.5320131929175</v>
      </c>
      <c r="AC50" s="8" t="s">
        <v>75</v>
      </c>
    </row>
    <row r="51" spans="2:63" x14ac:dyDescent="0.2">
      <c r="B51" s="19" t="s">
        <v>407</v>
      </c>
      <c r="C51" s="45" t="s">
        <v>187</v>
      </c>
      <c r="E51" s="256"/>
      <c r="F51" s="11">
        <f t="shared" ref="F51:AB51" ca="1" si="20">+F50/F$16</f>
        <v>-11.658421146946488</v>
      </c>
      <c r="G51" s="11">
        <f t="shared" ca="1" si="20"/>
        <v>31.586150095415789</v>
      </c>
      <c r="H51" s="11">
        <f t="shared" ca="1" si="20"/>
        <v>11.019718751217368</v>
      </c>
      <c r="I51" s="11">
        <f t="shared" ca="1" si="20"/>
        <v>1.9930151950663948</v>
      </c>
      <c r="J51" s="11">
        <f t="shared" ca="1" si="20"/>
        <v>40.037030154276295</v>
      </c>
      <c r="K51" s="11">
        <f t="shared" ca="1" si="20"/>
        <v>44.55423970930979</v>
      </c>
      <c r="L51" s="11">
        <f t="shared" ca="1" si="20"/>
        <v>9.0740276537557314</v>
      </c>
      <c r="M51" s="11">
        <f t="shared" ca="1" si="20"/>
        <v>28.140221477237837</v>
      </c>
      <c r="N51" s="11">
        <f t="shared" ca="1" si="20"/>
        <v>69.759590704275809</v>
      </c>
      <c r="O51" s="11">
        <f t="shared" ca="1" si="20"/>
        <v>71.704067940359266</v>
      </c>
      <c r="P51" s="11">
        <f t="shared" ca="1" si="20"/>
        <v>30.615886266685944</v>
      </c>
      <c r="Q51" s="11">
        <f t="shared" ca="1" si="20"/>
        <v>32.760534225840701</v>
      </c>
      <c r="R51" s="11">
        <f t="shared" ca="1" si="20"/>
        <v>75.620158607500485</v>
      </c>
      <c r="S51" s="11">
        <f t="shared" ca="1" si="20"/>
        <v>78.116991138856676</v>
      </c>
      <c r="T51" s="11">
        <f t="shared" ca="1" si="20"/>
        <v>35.367619082400282</v>
      </c>
      <c r="U51" s="11">
        <f t="shared" ca="1" si="20"/>
        <v>33.681603265294633</v>
      </c>
      <c r="V51" s="11">
        <f t="shared" ca="1" si="20"/>
        <v>77.164007945476214</v>
      </c>
      <c r="W51" s="11">
        <f t="shared" ca="1" si="20"/>
        <v>79.53035612276301</v>
      </c>
      <c r="X51" s="11">
        <f t="shared" ca="1" si="20"/>
        <v>36.634402179721022</v>
      </c>
      <c r="Y51" s="11">
        <f t="shared" ca="1" si="20"/>
        <v>34.634366391012506</v>
      </c>
      <c r="Z51" s="11">
        <f t="shared" ca="1" si="20"/>
        <v>77.60154864675701</v>
      </c>
      <c r="AA51" s="11">
        <f t="shared" ca="1" si="20"/>
        <v>80.161103061078748</v>
      </c>
      <c r="AB51" s="11">
        <f t="shared" ca="1" si="20"/>
        <v>2679.2062256254949</v>
      </c>
      <c r="AC51" s="8" t="s">
        <v>75</v>
      </c>
      <c r="AI51" s="261"/>
      <c r="AM51" s="261"/>
      <c r="AQ51" s="261"/>
      <c r="AR51" s="261"/>
      <c r="AS51" s="261"/>
    </row>
    <row r="52" spans="2:63" x14ac:dyDescent="0.2">
      <c r="B52" s="1" t="s">
        <v>473</v>
      </c>
      <c r="C52" s="45" t="s">
        <v>187</v>
      </c>
      <c r="E52" s="209">
        <f ca="1">-D57</f>
        <v>-5933.587092759758</v>
      </c>
      <c r="F52" s="11">
        <f t="shared" ref="F52:AB52" ca="1" si="21">+F50+F48</f>
        <v>-21.715759344022757</v>
      </c>
      <c r="G52" s="11">
        <f t="shared" ca="1" si="21"/>
        <v>62.901486986099343</v>
      </c>
      <c r="H52" s="11">
        <f t="shared" ca="1" si="21"/>
        <v>27.62594573240608</v>
      </c>
      <c r="I52" s="11">
        <f t="shared" ca="1" si="21"/>
        <v>4.7119538498570535</v>
      </c>
      <c r="J52" s="11">
        <f t="shared" ca="1" si="21"/>
        <v>82.146760529360193</v>
      </c>
      <c r="K52" s="11">
        <f t="shared" ca="1" si="21"/>
        <v>97.039564122706167</v>
      </c>
      <c r="L52" s="11">
        <f t="shared" ca="1" si="21"/>
        <v>24.984991048779165</v>
      </c>
      <c r="M52" s="11">
        <f t="shared" ca="1" si="21"/>
        <v>72.947105411723598</v>
      </c>
      <c r="N52" s="11">
        <f t="shared" ca="1" si="21"/>
        <v>158.29820852063881</v>
      </c>
      <c r="O52" s="11">
        <f t="shared" ca="1" si="21"/>
        <v>172.3590708899228</v>
      </c>
      <c r="P52" s="11">
        <f t="shared" ca="1" si="21"/>
        <v>92.200056125559499</v>
      </c>
      <c r="Q52" s="11">
        <f t="shared" ca="1" si="21"/>
        <v>88.508669293297402</v>
      </c>
      <c r="R52" s="11">
        <f t="shared" ca="1" si="21"/>
        <v>183.16254287948246</v>
      </c>
      <c r="S52" s="11">
        <f t="shared" ca="1" si="21"/>
        <v>199.63591741870829</v>
      </c>
      <c r="T52" s="11">
        <f t="shared" ca="1" si="21"/>
        <v>110.3345994154343</v>
      </c>
      <c r="U52" s="11">
        <f t="shared" ca="1" si="21"/>
        <v>100.80153017590573</v>
      </c>
      <c r="V52" s="11">
        <f t="shared" ca="1" si="21"/>
        <v>208.48396800303075</v>
      </c>
      <c r="W52" s="11">
        <f t="shared" ca="1" si="21"/>
        <v>226.37616818477903</v>
      </c>
      <c r="X52" s="11">
        <f t="shared" ca="1" si="21"/>
        <v>126.35155011867596</v>
      </c>
      <c r="Y52" s="11">
        <f t="shared" ca="1" si="21"/>
        <v>115.27926939305173</v>
      </c>
      <c r="Z52" s="11">
        <f t="shared" ca="1" si="21"/>
        <v>234.70553405879815</v>
      </c>
      <c r="AA52" s="11">
        <f t="shared" ca="1" si="21"/>
        <v>255.08933487110261</v>
      </c>
      <c r="AB52" s="11">
        <f t="shared" ca="1" si="21"/>
        <v>8261.4234664729902</v>
      </c>
      <c r="AC52" s="8" t="s">
        <v>75</v>
      </c>
      <c r="AI52" s="261"/>
      <c r="AJ52" s="261"/>
      <c r="AK52" s="261"/>
      <c r="AL52" s="261"/>
      <c r="AM52" s="261"/>
      <c r="AN52" s="261"/>
      <c r="AO52" s="261"/>
      <c r="AP52" s="261"/>
      <c r="AQ52" s="261"/>
      <c r="AR52" s="261"/>
      <c r="AS52" s="261"/>
      <c r="AT52" s="261"/>
      <c r="AU52" s="261"/>
      <c r="AV52" s="261"/>
      <c r="AW52" s="261"/>
      <c r="AX52" s="261"/>
      <c r="AY52" s="261"/>
      <c r="AZ52" s="261"/>
      <c r="BA52" s="261"/>
      <c r="BB52" s="261"/>
      <c r="BC52" s="261"/>
      <c r="BD52" s="261"/>
      <c r="BE52" s="261"/>
      <c r="BF52" s="261"/>
      <c r="BG52" s="261"/>
      <c r="BH52" s="261"/>
      <c r="BI52" s="261"/>
      <c r="BJ52" s="261"/>
      <c r="BK52" s="261"/>
    </row>
    <row r="53" spans="2:63" s="2" customFormat="1" x14ac:dyDescent="0.2">
      <c r="B53" s="2" t="s">
        <v>389</v>
      </c>
      <c r="C53" s="45" t="s">
        <v>187</v>
      </c>
      <c r="E53" s="13"/>
      <c r="F53" s="13">
        <f t="shared" ref="F53:AB53" ca="1" si="22">+F51+F49</f>
        <v>-21.130035862665125</v>
      </c>
      <c r="G53" s="13">
        <f t="shared" ca="1" si="22"/>
        <v>59.575286099937976</v>
      </c>
      <c r="H53" s="13">
        <f t="shared" ca="1" si="22"/>
        <v>25.58653108100016</v>
      </c>
      <c r="I53" s="13">
        <f t="shared" ca="1" si="22"/>
        <v>4.2441653118391365</v>
      </c>
      <c r="J53" s="13">
        <f t="shared" ca="1" si="22"/>
        <v>71.530593108793397</v>
      </c>
      <c r="K53" s="13">
        <f t="shared" ca="1" si="22"/>
        <v>82.307267686380243</v>
      </c>
      <c r="L53" s="13">
        <f t="shared" ca="1" si="22"/>
        <v>20.870275817076418</v>
      </c>
      <c r="M53" s="13">
        <f t="shared" ca="1" si="22"/>
        <v>59.059994334416004</v>
      </c>
      <c r="N53" s="13">
        <f t="shared" ca="1" si="22"/>
        <v>123.10576650241416</v>
      </c>
      <c r="O53" s="13">
        <f t="shared" ca="1" si="22"/>
        <v>130.66046171816828</v>
      </c>
      <c r="P53" s="13">
        <f t="shared" ca="1" si="22"/>
        <v>69.305457274235792</v>
      </c>
      <c r="Q53" s="13">
        <f t="shared" ca="1" si="22"/>
        <v>63.878095839836291</v>
      </c>
      <c r="R53" s="13">
        <f t="shared" ca="1" si="22"/>
        <v>126.2307821523641</v>
      </c>
      <c r="S53" s="13">
        <f t="shared" ca="1" si="22"/>
        <v>134.12130628707376</v>
      </c>
      <c r="T53" s="13">
        <f t="shared" ca="1" si="22"/>
        <v>73.892105321362877</v>
      </c>
      <c r="U53" s="13">
        <f t="shared" ca="1" si="22"/>
        <v>65.0273961745024</v>
      </c>
      <c r="V53" s="13">
        <f t="shared" ca="1" si="22"/>
        <v>127.66601453500579</v>
      </c>
      <c r="W53" s="13">
        <f t="shared" ca="1" si="22"/>
        <v>135.21282775803937</v>
      </c>
      <c r="X53" s="13">
        <f t="shared" ca="1" si="22"/>
        <v>75.722751146579057</v>
      </c>
      <c r="Y53" s="13">
        <f t="shared" ca="1" si="22"/>
        <v>66.384536896492961</v>
      </c>
      <c r="Z53" s="13">
        <f t="shared" ca="1" si="22"/>
        <v>127.54865066880775</v>
      </c>
      <c r="AA53" s="13">
        <f t="shared" ca="1" si="22"/>
        <v>135.29266045457146</v>
      </c>
      <c r="AB53" s="13">
        <f t="shared" ca="1" si="22"/>
        <v>4177.4942024535258</v>
      </c>
      <c r="AC53" s="8" t="s">
        <v>75</v>
      </c>
    </row>
    <row r="54" spans="2:63" x14ac:dyDescent="0.2">
      <c r="B54" s="19" t="s">
        <v>401</v>
      </c>
      <c r="C54" s="45" t="s">
        <v>177</v>
      </c>
      <c r="D54" s="86">
        <f ca="1">+Ctrl!$G$20</f>
        <v>0.27500000000000002</v>
      </c>
      <c r="F54" s="284">
        <f ca="1">+SUMIFS(Financials!$30:$30,Financials!$3:$3,Valuation!F$3)*(1-F12)+$D54*F12</f>
        <v>0.44409880739339708</v>
      </c>
      <c r="G54" s="284">
        <f ca="1">+SUMIFS(Financials!$30:$30,Financials!$3:$3,Valuation!G$3)*(1-G12)+$D54*G12</f>
        <v>0.46139813805706009</v>
      </c>
      <c r="H54" s="284">
        <f ca="1">+SUMIFS(Financials!$30:$30,Financials!$3:$3,Valuation!H$3)*(1-H12)+$D54*H12</f>
        <v>0.55681545635653795</v>
      </c>
      <c r="I54" s="284">
        <f ca="1">+SUMIFS(Financials!$30:$30,Financials!$3:$3,Valuation!I$3)*(1-I12)+$D54*I12</f>
        <v>0.51358448164854453</v>
      </c>
      <c r="J54" s="284">
        <f ca="1">+SUMIFS(Financials!$30:$30,Financials!$3:$3,Valuation!J$3)*(1-J12)+$D54*J12</f>
        <v>0.41963376192642082</v>
      </c>
      <c r="K54" s="284">
        <f ca="1">+SUMIFS(Financials!$30:$30,Financials!$3:$3,Valuation!K$3)*(1-K12)+$D54*K12</f>
        <v>0.43366929547540389</v>
      </c>
      <c r="L54" s="284">
        <f ca="1">+SUMIFS(Financials!$30:$30,Financials!$3:$3,Valuation!L$3)*(1-L12)+$D54*L12</f>
        <v>0.53596579962530067</v>
      </c>
      <c r="M54" s="284">
        <f ca="1">+SUMIFS(Financials!$30:$30,Financials!$3:$3,Valuation!M$3)*(1-M12)+$D54*M12</f>
        <v>0.48982975138495327</v>
      </c>
      <c r="N54" s="284">
        <f ca="1">+SUMIFS(Financials!$30:$30,Financials!$3:$3,Valuation!N$3)*(1-N12)+$D54*N12</f>
        <v>0.39652888041545364</v>
      </c>
      <c r="O54" s="284">
        <f ca="1">+SUMIFS(Financials!$30:$30,Financials!$3:$3,Valuation!O$3)*(1-O12)+$D54*O12</f>
        <v>0.40988398746308852</v>
      </c>
      <c r="P54" s="284">
        <f ca="1">+SUMIFS(Financials!$30:$30,Financials!$3:$3,Valuation!P$3)*(1-P12)+$D54*P12</f>
        <v>0.51208678531034368</v>
      </c>
      <c r="Q54" s="284">
        <f ca="1">+SUMIFS(Financials!$30:$30,Financials!$3:$3,Valuation!Q$3)*(1-Q12)+$D54*Q12</f>
        <v>0.43684884338759095</v>
      </c>
      <c r="R54" s="284">
        <f ca="1">+SUMIFS(Financials!$30:$30,Financials!$3:$3,Valuation!R$3)*(1-R12)+$D54*R12</f>
        <v>0.34958039641484961</v>
      </c>
      <c r="S54" s="284">
        <f ca="1">+SUMIFS(Financials!$30:$30,Financials!$3:$3,Valuation!S$3)*(1-S12)+$D54*S12</f>
        <v>0.3614444093410486</v>
      </c>
      <c r="T54" s="284">
        <f ca="1">+SUMIFS(Financials!$30:$30,Financials!$3:$3,Valuation!T$3)*(1-T12)+$D54*T12</f>
        <v>0.45814240137897555</v>
      </c>
      <c r="U54" s="284">
        <f ca="1">+SUMIFS(Financials!$30:$30,Financials!$3:$3,Valuation!U$3)*(1-U12)+$D54*U12</f>
        <v>0.41536705070672786</v>
      </c>
      <c r="V54" s="284">
        <f ca="1">+SUMIFS(Financials!$30:$30,Financials!$3:$3,Valuation!V$3)*(1-V12)+$D54*V12</f>
        <v>0.32944770082990765</v>
      </c>
      <c r="W54" s="284">
        <f ca="1">+SUMIFS(Financials!$30:$30,Financials!$3:$3,Valuation!W$3)*(1-W12)+$D54*W12</f>
        <v>0.34068653174014385</v>
      </c>
      <c r="X54" s="284">
        <f ca="1">+SUMIFS(Financials!$30:$30,Financials!$3:$3,Valuation!X$3)*(1-X12)+$D54*X12</f>
        <v>0.43636566531750859</v>
      </c>
      <c r="Y54" s="284">
        <f ca="1">+SUMIFS(Financials!$30:$30,Financials!$3:$3,Valuation!Y$3)*(1-Y12)+$D54*Y12</f>
        <v>0.39547880969703308</v>
      </c>
      <c r="Z54" s="284">
        <f ca="1">+SUMIFS(Financials!$30:$30,Financials!$3:$3,Valuation!Z$3)*(1-Z12)+$D54*Z12</f>
        <v>0.31113290256798781</v>
      </c>
      <c r="AA54" s="284">
        <f ca="1">+SUMIFS(Financials!$30:$30,Financials!$3:$3,Valuation!AA$3)*(1-AA12)+$D54*AA12</f>
        <v>0.3217981838793369</v>
      </c>
      <c r="AB54" s="284">
        <f ca="1">+SUMIFS(Financials!$30:$30,Financials!$3:$3,Valuation!AB$3)*(1-AB12)+$D54*AB12</f>
        <v>0.27500000000000002</v>
      </c>
      <c r="AC54" s="8" t="s">
        <v>75</v>
      </c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</row>
    <row r="55" spans="2:63" x14ac:dyDescent="0.2">
      <c r="B55" s="19" t="s">
        <v>405</v>
      </c>
      <c r="C55" s="45" t="s">
        <v>177</v>
      </c>
      <c r="F55" s="207">
        <f t="shared" ref="F55:AB55" ca="1" si="23">1-F54</f>
        <v>0.55590119260660287</v>
      </c>
      <c r="G55" s="207">
        <f t="shared" ca="1" si="23"/>
        <v>0.53860186194293991</v>
      </c>
      <c r="H55" s="207">
        <f t="shared" ca="1" si="23"/>
        <v>0.44318454364346205</v>
      </c>
      <c r="I55" s="207">
        <f t="shared" ca="1" si="23"/>
        <v>0.48641551835145547</v>
      </c>
      <c r="J55" s="207">
        <f t="shared" ca="1" si="23"/>
        <v>0.58036623807357923</v>
      </c>
      <c r="K55" s="207">
        <f t="shared" ca="1" si="23"/>
        <v>0.56633070452459611</v>
      </c>
      <c r="L55" s="207">
        <f t="shared" ca="1" si="23"/>
        <v>0.46403420037469933</v>
      </c>
      <c r="M55" s="207">
        <f t="shared" ca="1" si="23"/>
        <v>0.51017024861504678</v>
      </c>
      <c r="N55" s="207">
        <f t="shared" ca="1" si="23"/>
        <v>0.60347111958454636</v>
      </c>
      <c r="O55" s="207">
        <f t="shared" ca="1" si="23"/>
        <v>0.59011601253691148</v>
      </c>
      <c r="P55" s="207">
        <f t="shared" ca="1" si="23"/>
        <v>0.48791321468965632</v>
      </c>
      <c r="Q55" s="207">
        <f t="shared" ca="1" si="23"/>
        <v>0.563151156612409</v>
      </c>
      <c r="R55" s="207">
        <f t="shared" ca="1" si="23"/>
        <v>0.65041960358515039</v>
      </c>
      <c r="S55" s="207">
        <f t="shared" ca="1" si="23"/>
        <v>0.6385555906589514</v>
      </c>
      <c r="T55" s="207">
        <f t="shared" ca="1" si="23"/>
        <v>0.54185759862102445</v>
      </c>
      <c r="U55" s="207">
        <f t="shared" ca="1" si="23"/>
        <v>0.58463294929327214</v>
      </c>
      <c r="V55" s="207">
        <f t="shared" ca="1" si="23"/>
        <v>0.67055229917009229</v>
      </c>
      <c r="W55" s="207">
        <f t="shared" ca="1" si="23"/>
        <v>0.65931346825985615</v>
      </c>
      <c r="X55" s="207">
        <f t="shared" ca="1" si="23"/>
        <v>0.56363433468249147</v>
      </c>
      <c r="Y55" s="207">
        <f t="shared" ca="1" si="23"/>
        <v>0.60452119030296692</v>
      </c>
      <c r="Z55" s="207">
        <f t="shared" ca="1" si="23"/>
        <v>0.68886709743201213</v>
      </c>
      <c r="AA55" s="207">
        <f t="shared" ca="1" si="23"/>
        <v>0.6782018161206631</v>
      </c>
      <c r="AB55" s="207">
        <f t="shared" ca="1" si="23"/>
        <v>0.72499999999999998</v>
      </c>
      <c r="AC55" s="8" t="s">
        <v>75</v>
      </c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</row>
    <row r="56" spans="2:63" x14ac:dyDescent="0.2">
      <c r="AC56" s="8" t="s">
        <v>75</v>
      </c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</row>
    <row r="57" spans="2:63" x14ac:dyDescent="0.2">
      <c r="B57" s="1" t="s">
        <v>390</v>
      </c>
      <c r="C57" s="45" t="s">
        <v>187</v>
      </c>
      <c r="D57" s="11">
        <f ca="1">+SUM(F53:AB53)</f>
        <v>5933.587092759758</v>
      </c>
      <c r="F57" s="219" t="s">
        <v>421</v>
      </c>
      <c r="G57" s="220">
        <f ca="1">+SUM(F49:AB49)</f>
        <v>2286.2826496669081</v>
      </c>
      <c r="H57" s="221">
        <f ca="1">+G57/D$57</f>
        <v>0.38531205726408913</v>
      </c>
      <c r="I57" s="134"/>
      <c r="AC57" s="8" t="s">
        <v>75</v>
      </c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</row>
    <row r="58" spans="2:63" x14ac:dyDescent="0.2">
      <c r="B58" s="1" t="s">
        <v>391</v>
      </c>
      <c r="C58" s="45" t="s">
        <v>346</v>
      </c>
      <c r="D58" s="21">
        <f ca="1">+D38</f>
        <v>748610.66500000004</v>
      </c>
      <c r="F58" s="222" t="s">
        <v>422</v>
      </c>
      <c r="G58" s="223">
        <f ca="1">+SUM(F51:AB51)</f>
        <v>3647.3044430928499</v>
      </c>
      <c r="H58" s="224">
        <f ca="1">+G58/D$57</f>
        <v>0.61468794273591087</v>
      </c>
      <c r="AC58" s="8" t="s">
        <v>75</v>
      </c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</row>
    <row r="59" spans="2:63" x14ac:dyDescent="0.2">
      <c r="AC59" s="8" t="s">
        <v>75</v>
      </c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</row>
    <row r="60" spans="2:63" x14ac:dyDescent="0.2">
      <c r="B60" s="219" t="s">
        <v>392</v>
      </c>
      <c r="C60" s="231" t="s">
        <v>338</v>
      </c>
      <c r="D60" s="232">
        <f ca="1">+D57/(D58/1000)</f>
        <v>7.9261321941756702</v>
      </c>
      <c r="AC60" s="8" t="s">
        <v>75</v>
      </c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</row>
    <row r="61" spans="2:63" x14ac:dyDescent="0.2">
      <c r="B61" s="154" t="s">
        <v>393</v>
      </c>
      <c r="C61" s="233" t="s">
        <v>338</v>
      </c>
      <c r="D61" s="234">
        <f ca="1">+SharePrice</f>
        <v>6</v>
      </c>
      <c r="G61" s="134"/>
      <c r="AC61" s="8" t="s">
        <v>75</v>
      </c>
    </row>
    <row r="62" spans="2:63" x14ac:dyDescent="0.2">
      <c r="B62" s="154" t="s">
        <v>394</v>
      </c>
      <c r="C62" s="233" t="s">
        <v>177</v>
      </c>
      <c r="D62" s="237">
        <f ca="1">+D60/D61-1</f>
        <v>0.32102203236261162</v>
      </c>
      <c r="F62" s="261"/>
      <c r="AC62" s="8" t="s">
        <v>75</v>
      </c>
    </row>
    <row r="63" spans="2:63" x14ac:dyDescent="0.2">
      <c r="B63" s="154" t="s">
        <v>593</v>
      </c>
      <c r="C63" s="233" t="s">
        <v>177</v>
      </c>
      <c r="D63" s="237">
        <f ca="1">+XIRR(E52:AB52,E5:AB5)</f>
        <v>0.12436657547950744</v>
      </c>
      <c r="AC63" s="8" t="s">
        <v>75</v>
      </c>
    </row>
    <row r="64" spans="2:63" x14ac:dyDescent="0.2">
      <c r="B64" s="222" t="s">
        <v>594</v>
      </c>
      <c r="C64" s="235" t="s">
        <v>595</v>
      </c>
      <c r="D64" s="305">
        <f ca="1">+(D63-Financing!D11)*10000</f>
        <v>748.66575479507435</v>
      </c>
      <c r="AC64" s="8" t="s">
        <v>75</v>
      </c>
    </row>
    <row r="65" spans="1:45" x14ac:dyDescent="0.2">
      <c r="I65" s="134"/>
      <c r="V65" s="11"/>
      <c r="AC65" s="8" t="s">
        <v>75</v>
      </c>
    </row>
    <row r="66" spans="1:45" s="350" customFormat="1" outlineLevel="1" x14ac:dyDescent="0.2">
      <c r="A66" s="17" t="s">
        <v>75</v>
      </c>
      <c r="B66" s="343" t="s">
        <v>642</v>
      </c>
      <c r="C66" s="351"/>
      <c r="F66" s="343">
        <f ca="1">+E6</f>
        <v>2021</v>
      </c>
      <c r="G66" s="343">
        <f ca="1">+F66+1</f>
        <v>2022</v>
      </c>
      <c r="H66" s="343">
        <f t="shared" ref="H66:AB66" ca="1" si="24">+G66+1</f>
        <v>2023</v>
      </c>
      <c r="I66" s="343">
        <f t="shared" ca="1" si="24"/>
        <v>2024</v>
      </c>
      <c r="J66" s="343">
        <f t="shared" ca="1" si="24"/>
        <v>2025</v>
      </c>
      <c r="K66" s="343">
        <f t="shared" ca="1" si="24"/>
        <v>2026</v>
      </c>
      <c r="L66" s="343">
        <f t="shared" ca="1" si="24"/>
        <v>2027</v>
      </c>
      <c r="M66" s="343">
        <f t="shared" ca="1" si="24"/>
        <v>2028</v>
      </c>
      <c r="N66" s="343">
        <f t="shared" ca="1" si="24"/>
        <v>2029</v>
      </c>
      <c r="O66" s="343">
        <f t="shared" ca="1" si="24"/>
        <v>2030</v>
      </c>
      <c r="P66" s="343">
        <f t="shared" ca="1" si="24"/>
        <v>2031</v>
      </c>
      <c r="Q66" s="343">
        <f t="shared" ca="1" si="24"/>
        <v>2032</v>
      </c>
      <c r="R66" s="343">
        <f t="shared" ca="1" si="24"/>
        <v>2033</v>
      </c>
      <c r="S66" s="343">
        <f t="shared" ca="1" si="24"/>
        <v>2034</v>
      </c>
      <c r="T66" s="343">
        <f t="shared" ca="1" si="24"/>
        <v>2035</v>
      </c>
      <c r="U66" s="343">
        <f t="shared" ca="1" si="24"/>
        <v>2036</v>
      </c>
      <c r="V66" s="343">
        <f t="shared" ca="1" si="24"/>
        <v>2037</v>
      </c>
      <c r="W66" s="343">
        <f t="shared" ca="1" si="24"/>
        <v>2038</v>
      </c>
      <c r="X66" s="343">
        <f t="shared" ca="1" si="24"/>
        <v>2039</v>
      </c>
      <c r="Y66" s="343">
        <f t="shared" ca="1" si="24"/>
        <v>2040</v>
      </c>
      <c r="Z66" s="343">
        <f t="shared" ca="1" si="24"/>
        <v>2041</v>
      </c>
      <c r="AA66" s="343">
        <f t="shared" ca="1" si="24"/>
        <v>2042</v>
      </c>
      <c r="AB66" s="343">
        <f t="shared" ca="1" si="24"/>
        <v>2043</v>
      </c>
      <c r="AC66" s="352" t="s">
        <v>75</v>
      </c>
    </row>
    <row r="67" spans="1:45" outlineLevel="1" x14ac:dyDescent="0.2">
      <c r="B67" s="1" t="s">
        <v>399</v>
      </c>
      <c r="C67" s="45" t="s">
        <v>187</v>
      </c>
      <c r="E67" s="256"/>
      <c r="F67" s="11">
        <f ca="1">+SUMIFS('Contract CF'!$57:$57,'Contract CF'!$3:$3,Valuation!F$66)</f>
        <v>730.07216145548318</v>
      </c>
      <c r="G67" s="11">
        <f ca="1">+SUMIFS('Contract CF'!$57:$57,'Contract CF'!$3:$3,Valuation!G$66)</f>
        <v>782.16368863794253</v>
      </c>
      <c r="H67" s="11">
        <f ca="1">+SUMIFS('Contract CF'!$57:$57,'Contract CF'!$3:$3,Valuation!H$66)</f>
        <v>805.628599297081</v>
      </c>
      <c r="I67" s="11">
        <f ca="1">+SUMIFS('Contract CF'!$57:$57,'Contract CF'!$3:$3,Valuation!I$66)</f>
        <v>776.41437241397909</v>
      </c>
      <c r="J67" s="11">
        <f ca="1">+SUMIFS('Contract CF'!$57:$57,'Contract CF'!$3:$3,Valuation!J$66)</f>
        <v>799.70680358639822</v>
      </c>
      <c r="K67" s="11">
        <f ca="1">+SUMIFS('Contract CF'!$57:$57,'Contract CF'!$3:$3,Valuation!K$66)</f>
        <v>823.69800769399023</v>
      </c>
      <c r="L67" s="11">
        <f ca="1">+SUMIFS('Contract CF'!$57:$57,'Contract CF'!$3:$3,Valuation!L$66)</f>
        <v>848.40894792480992</v>
      </c>
      <c r="M67" s="11">
        <f ca="1">+SUMIFS('Contract CF'!$57:$57,'Contract CF'!$3:$3,Valuation!M$66)</f>
        <v>873.86121636255439</v>
      </c>
      <c r="N67" s="11">
        <f ca="1">+SUMIFS('Contract CF'!$57:$57,'Contract CF'!$3:$3,Valuation!N$66)</f>
        <v>889.32159549697428</v>
      </c>
      <c r="O67" s="11">
        <f ca="1">+SUMIFS('Contract CF'!$57:$57,'Contract CF'!$3:$3,Valuation!O$66)</f>
        <v>916.00124336188367</v>
      </c>
      <c r="P67" s="11">
        <f ca="1">+SUMIFS('Contract CF'!$57:$57,'Contract CF'!$3:$3,Valuation!P$66)</f>
        <v>925.77947416536097</v>
      </c>
      <c r="Q67" s="11">
        <f ca="1">+SUMIFS('Contract CF'!$57:$57,'Contract CF'!$3:$3,Valuation!Q$66)</f>
        <v>953.55285839032183</v>
      </c>
      <c r="R67" s="11">
        <f ca="1">+SUMIFS('Contract CF'!$57:$57,'Contract CF'!$3:$3,Valuation!R$66)</f>
        <v>982.15944414203148</v>
      </c>
      <c r="S67" s="11">
        <f ca="1">+SUMIFS('Contract CF'!$57:$57,'Contract CF'!$3:$3,Valuation!S$66)</f>
        <v>1011.6242274662924</v>
      </c>
      <c r="T67" s="11">
        <f ca="1">+SUMIFS('Contract CF'!$57:$57,'Contract CF'!$3:$3,Valuation!T$66)</f>
        <v>667.68359303776538</v>
      </c>
      <c r="U67" s="11">
        <f ca="1">+SUMIFS('Contract CF'!$57:$57,'Contract CF'!$3:$3,Valuation!U$66)</f>
        <v>687.71410082889838</v>
      </c>
      <c r="V67" s="11">
        <f ca="1">+SUMIFS('Contract CF'!$57:$57,'Contract CF'!$3:$3,Valuation!V$66)</f>
        <v>708.34552385376526</v>
      </c>
      <c r="W67" s="11">
        <f ca="1">+SUMIFS('Contract CF'!$57:$57,'Contract CF'!$3:$3,Valuation!W$66)</f>
        <v>729.59588956937819</v>
      </c>
      <c r="X67" s="11">
        <f ca="1">+SUMIFS('Contract CF'!$57:$57,'Contract CF'!$3:$3,Valuation!X$66)</f>
        <v>92.742981436008705</v>
      </c>
      <c r="Y67" s="11">
        <f ca="1">+SUMIFS('Contract CF'!$57:$57,'Contract CF'!$3:$3,Valuation!Y$66)</f>
        <v>95.525270879088964</v>
      </c>
      <c r="Z67" s="11">
        <f ca="1">+SUMIFS('Contract CF'!$57:$57,'Contract CF'!$3:$3,Valuation!Z$66)</f>
        <v>0</v>
      </c>
      <c r="AA67" s="11">
        <f ca="1">+SUMIFS('Contract CF'!$57:$57,'Contract CF'!$3:$3,Valuation!AA$66)</f>
        <v>0</v>
      </c>
      <c r="AB67" s="11">
        <f ca="1">+SUMIFS('Contract CF'!$57:$57,'Contract CF'!$3:$3,Valuation!AB$66)</f>
        <v>0</v>
      </c>
      <c r="AC67" s="8" t="s">
        <v>75</v>
      </c>
    </row>
    <row r="68" spans="1:45" s="25" customFormat="1" outlineLevel="1" x14ac:dyDescent="0.2">
      <c r="B68" s="26" t="s">
        <v>639</v>
      </c>
      <c r="C68" s="116" t="s">
        <v>177</v>
      </c>
      <c r="E68" s="218"/>
      <c r="F68" s="29">
        <v>0.1</v>
      </c>
      <c r="G68" s="86">
        <f ca="1">+SUMIFS($25:$25,$6:$6,G$66)/SUMIFS(Financials!$8:$8,Financials!$6:$6,Valuation!G66)</f>
        <v>0.1250354807304257</v>
      </c>
      <c r="H68" s="86">
        <f ca="1">+SUMIFS($25:$25,$6:$6,H$66)/SUMIFS(Financials!$8:$8,Financials!$6:$6,Valuation!H66)</f>
        <v>0.27346578107528274</v>
      </c>
      <c r="I68" s="86">
        <f ca="1">+SUMIFS($25:$25,$6:$6,I$66)/SUMIFS(Financials!$8:$8,Financials!$6:$6,Valuation!I66)</f>
        <v>0.29516461992977427</v>
      </c>
      <c r="J68" s="86">
        <f ca="1">+SUMIFS($25:$25,$6:$6,J$66)/SUMIFS(Financials!$8:$8,Financials!$6:$6,Valuation!J66)</f>
        <v>0.30865283792239512</v>
      </c>
      <c r="K68" s="86">
        <f ca="1">+SUMIFS($25:$25,$6:$6,K$66)/SUMIFS(Financials!$8:$8,Financials!$6:$6,Valuation!K66)</f>
        <v>0.32127855322344656</v>
      </c>
      <c r="L68" s="30">
        <f ca="1">+K68</f>
        <v>0.32127855322344656</v>
      </c>
      <c r="M68" s="30">
        <f t="shared" ref="M68:AB68" ca="1" si="25">+L68</f>
        <v>0.32127855322344656</v>
      </c>
      <c r="N68" s="30">
        <f t="shared" ca="1" si="25"/>
        <v>0.32127855322344656</v>
      </c>
      <c r="O68" s="30">
        <f t="shared" ca="1" si="25"/>
        <v>0.32127855322344656</v>
      </c>
      <c r="P68" s="30">
        <f t="shared" ca="1" si="25"/>
        <v>0.32127855322344656</v>
      </c>
      <c r="Q68" s="30">
        <f t="shared" ca="1" si="25"/>
        <v>0.32127855322344656</v>
      </c>
      <c r="R68" s="30">
        <f t="shared" ca="1" si="25"/>
        <v>0.32127855322344656</v>
      </c>
      <c r="S68" s="30">
        <f t="shared" ca="1" si="25"/>
        <v>0.32127855322344656</v>
      </c>
      <c r="T68" s="30">
        <f t="shared" ca="1" si="25"/>
        <v>0.32127855322344656</v>
      </c>
      <c r="U68" s="30">
        <f t="shared" ca="1" si="25"/>
        <v>0.32127855322344656</v>
      </c>
      <c r="V68" s="30">
        <f t="shared" ca="1" si="25"/>
        <v>0.32127855322344656</v>
      </c>
      <c r="W68" s="30">
        <f t="shared" ca="1" si="25"/>
        <v>0.32127855322344656</v>
      </c>
      <c r="X68" s="30">
        <f t="shared" ca="1" si="25"/>
        <v>0.32127855322344656</v>
      </c>
      <c r="Y68" s="30">
        <f t="shared" ca="1" si="25"/>
        <v>0.32127855322344656</v>
      </c>
      <c r="Z68" s="30">
        <f t="shared" ca="1" si="25"/>
        <v>0.32127855322344656</v>
      </c>
      <c r="AA68" s="30">
        <f t="shared" ca="1" si="25"/>
        <v>0.32127855322344656</v>
      </c>
      <c r="AB68" s="30">
        <f t="shared" ca="1" si="25"/>
        <v>0.32127855322344656</v>
      </c>
      <c r="AC68" s="88" t="s">
        <v>75</v>
      </c>
    </row>
    <row r="69" spans="1:45" outlineLevel="1" x14ac:dyDescent="0.2">
      <c r="B69" s="1" t="s">
        <v>640</v>
      </c>
      <c r="C69" s="45" t="s">
        <v>187</v>
      </c>
      <c r="E69" s="256"/>
      <c r="F69" s="11">
        <f ca="1">+(F67*F68)*(1-LEFT(E3,1)/4)</f>
        <v>54.755412109161242</v>
      </c>
      <c r="G69" s="106">
        <f t="shared" ref="G69:AB69" ca="1" si="26">+G67*G68</f>
        <v>97.798212818728146</v>
      </c>
      <c r="H69" s="11">
        <f t="shared" ca="1" si="26"/>
        <v>220.31185416336223</v>
      </c>
      <c r="I69" s="11">
        <f t="shared" ca="1" si="26"/>
        <v>229.17005314158635</v>
      </c>
      <c r="J69" s="11">
        <f t="shared" ca="1" si="26"/>
        <v>246.83177443278925</v>
      </c>
      <c r="K69" s="11">
        <f t="shared" ca="1" si="26"/>
        <v>264.63650420496054</v>
      </c>
      <c r="L69" s="11">
        <f t="shared" ca="1" si="26"/>
        <v>272.57559933110934</v>
      </c>
      <c r="M69" s="11">
        <f t="shared" ca="1" si="26"/>
        <v>280.75286731104268</v>
      </c>
      <c r="N69" s="11">
        <f t="shared" ca="1" si="26"/>
        <v>285.71995555163505</v>
      </c>
      <c r="O69" s="11">
        <f t="shared" ca="1" si="26"/>
        <v>294.29155421818416</v>
      </c>
      <c r="P69" s="11">
        <f t="shared" ca="1" si="26"/>
        <v>297.43309006381031</v>
      </c>
      <c r="Q69" s="11">
        <f t="shared" ca="1" si="26"/>
        <v>306.35608276572464</v>
      </c>
      <c r="R69" s="11">
        <f t="shared" ca="1" si="26"/>
        <v>315.54676524869637</v>
      </c>
      <c r="S69" s="11">
        <f t="shared" ca="1" si="26"/>
        <v>325.01316820615722</v>
      </c>
      <c r="T69" s="11">
        <f t="shared" ca="1" si="26"/>
        <v>214.51241878220574</v>
      </c>
      <c r="U69" s="11">
        <f t="shared" ca="1" si="26"/>
        <v>220.94779134567193</v>
      </c>
      <c r="V69" s="11">
        <f t="shared" ca="1" si="26"/>
        <v>227.57622508604206</v>
      </c>
      <c r="W69" s="11">
        <f t="shared" ca="1" si="26"/>
        <v>234.4035118386233</v>
      </c>
      <c r="X69" s="11">
        <f t="shared" ca="1" si="26"/>
        <v>29.79633089738984</v>
      </c>
      <c r="Y69" s="11">
        <f t="shared" ca="1" si="26"/>
        <v>30.690220824311535</v>
      </c>
      <c r="Z69" s="11">
        <f t="shared" ca="1" si="26"/>
        <v>0</v>
      </c>
      <c r="AA69" s="11">
        <f t="shared" ca="1" si="26"/>
        <v>0</v>
      </c>
      <c r="AB69" s="11">
        <f t="shared" ca="1" si="26"/>
        <v>0</v>
      </c>
      <c r="AC69" s="8" t="s">
        <v>75</v>
      </c>
    </row>
    <row r="70" spans="1:45" outlineLevel="1" x14ac:dyDescent="0.2">
      <c r="B70" s="19" t="s">
        <v>388</v>
      </c>
      <c r="C70" s="45" t="s">
        <v>641</v>
      </c>
      <c r="E70" s="208">
        <v>1</v>
      </c>
      <c r="F70" s="198">
        <f ca="1">+E70*(1+$D15*(1-LEFT(E3,1)/4))</f>
        <v>1.0562499999999999</v>
      </c>
      <c r="G70" s="279">
        <f ca="1">+F70*(1+$D15)</f>
        <v>1.1354687499999998</v>
      </c>
      <c r="H70" s="198">
        <f ca="1">+G70*(1+$D15)</f>
        <v>1.2206289062499998</v>
      </c>
      <c r="I70" s="198">
        <f ca="1">+H70*(1+$D15)</f>
        <v>1.3121760742187496</v>
      </c>
      <c r="J70" s="198">
        <f ca="1">+I70*(1+$D15)</f>
        <v>1.4105892797851558</v>
      </c>
      <c r="K70" s="198">
        <f ca="1">+J70*(1+$D15)</f>
        <v>1.5163834757690424</v>
      </c>
      <c r="L70" s="198">
        <f ca="1">+K70*(1+$D15)</f>
        <v>1.6301122364517204</v>
      </c>
      <c r="M70" s="198">
        <f ca="1">+L70*(1+$D15)</f>
        <v>1.7523706541855995</v>
      </c>
      <c r="N70" s="198">
        <f ca="1">+M70*(1+$D15)</f>
        <v>1.8837984532495193</v>
      </c>
      <c r="O70" s="198">
        <f ca="1">+N70*(1+$D15)</f>
        <v>2.0250833372432333</v>
      </c>
      <c r="P70" s="198">
        <f ca="1">+O70*(1+$D15)</f>
        <v>2.1769645875364758</v>
      </c>
      <c r="Q70" s="198">
        <f ca="1">+P70*(1+$D15)</f>
        <v>2.3402369316017113</v>
      </c>
      <c r="R70" s="198">
        <f ca="1">+Q70*(1+$D15)</f>
        <v>2.5157547014718395</v>
      </c>
      <c r="S70" s="198">
        <f ca="1">+R70*(1+$D15)</f>
        <v>2.7044363040822272</v>
      </c>
      <c r="T70" s="198">
        <f ca="1">+S70*(1+$D15)</f>
        <v>2.9072690268883941</v>
      </c>
      <c r="U70" s="198">
        <f ca="1">+T70*(1+$D15)</f>
        <v>3.1253142039050235</v>
      </c>
      <c r="V70" s="198">
        <f ca="1">+U70*(1+$D15)</f>
        <v>3.3597127691979001</v>
      </c>
      <c r="W70" s="198">
        <f ca="1">+V70*(1+$D15)</f>
        <v>3.6116912268877424</v>
      </c>
      <c r="X70" s="198">
        <f ca="1">+W70*(1+$D15)</f>
        <v>3.8825680689043227</v>
      </c>
      <c r="Y70" s="198">
        <f ca="1">+X70*(1+$D15)</f>
        <v>4.1737606740721471</v>
      </c>
      <c r="Z70" s="198">
        <f ca="1">+Y70*(1+$D15)</f>
        <v>4.4867927246275583</v>
      </c>
      <c r="AA70" s="198">
        <f ca="1">+Z70*(1+$D15)</f>
        <v>4.8233021789746253</v>
      </c>
      <c r="AB70" s="198">
        <f ca="1">+AA70*(1+$D15)</f>
        <v>5.1850498423977216</v>
      </c>
      <c r="AC70" s="8" t="s">
        <v>75</v>
      </c>
      <c r="AI70" s="261"/>
      <c r="AM70" s="261"/>
      <c r="AQ70" s="261"/>
      <c r="AR70" s="261"/>
      <c r="AS70" s="261"/>
    </row>
    <row r="71" spans="1:45" outlineLevel="1" x14ac:dyDescent="0.2">
      <c r="B71" s="1" t="s">
        <v>469</v>
      </c>
      <c r="C71" s="45" t="s">
        <v>187</v>
      </c>
      <c r="F71" s="11">
        <f ca="1">+F69/F70</f>
        <v>51.839443416957394</v>
      </c>
      <c r="G71" s="11">
        <f t="shared" ref="G71:AB71" ca="1" si="27">+G69/G70</f>
        <v>86.130254856180031</v>
      </c>
      <c r="H71" s="11">
        <f t="shared" ca="1" si="27"/>
        <v>180.49044474966715</v>
      </c>
      <c r="I71" s="11">
        <f t="shared" ca="1" si="27"/>
        <v>174.64885821670757</v>
      </c>
      <c r="J71" s="11">
        <f t="shared" ca="1" si="27"/>
        <v>174.98486481506774</v>
      </c>
      <c r="K71" s="11">
        <f t="shared" ca="1" si="27"/>
        <v>174.51819307827043</v>
      </c>
      <c r="L71" s="11">
        <f t="shared" ca="1" si="27"/>
        <v>167.21278034476143</v>
      </c>
      <c r="M71" s="11">
        <f t="shared" ca="1" si="27"/>
        <v>160.21317558614354</v>
      </c>
      <c r="N71" s="11">
        <f t="shared" ca="1" si="27"/>
        <v>151.67225297312095</v>
      </c>
      <c r="O71" s="11">
        <f t="shared" ca="1" si="27"/>
        <v>145.3231819184322</v>
      </c>
      <c r="P71" s="11">
        <f t="shared" ca="1" si="27"/>
        <v>136.62743609458309</v>
      </c>
      <c r="Q71" s="11">
        <f t="shared" ca="1" si="27"/>
        <v>130.90814807201917</v>
      </c>
      <c r="R71" s="11">
        <f t="shared" ca="1" si="27"/>
        <v>125.42827210621373</v>
      </c>
      <c r="S71" s="11">
        <f t="shared" ca="1" si="27"/>
        <v>120.1777862971164</v>
      </c>
      <c r="T71" s="11">
        <f t="shared" ca="1" si="27"/>
        <v>73.78485334458199</v>
      </c>
      <c r="U71" s="11">
        <f t="shared" ca="1" si="27"/>
        <v>70.696185065041348</v>
      </c>
      <c r="V71" s="11">
        <f t="shared" ca="1" si="27"/>
        <v>67.736809876272176</v>
      </c>
      <c r="W71" s="11">
        <f t="shared" ca="1" si="27"/>
        <v>64.901315509358454</v>
      </c>
      <c r="X71" s="11">
        <f t="shared" ca="1" si="27"/>
        <v>7.6743872531250927</v>
      </c>
      <c r="Y71" s="11">
        <f t="shared" ca="1" si="27"/>
        <v>7.3531338332268321</v>
      </c>
      <c r="Z71" s="11">
        <f t="shared" ca="1" si="27"/>
        <v>0</v>
      </c>
      <c r="AA71" s="11">
        <f t="shared" ca="1" si="27"/>
        <v>0</v>
      </c>
      <c r="AB71" s="11">
        <f t="shared" ca="1" si="27"/>
        <v>0</v>
      </c>
      <c r="AC71" s="8" t="s">
        <v>75</v>
      </c>
    </row>
    <row r="72" spans="1:45" outlineLevel="1" x14ac:dyDescent="0.2">
      <c r="I72" s="134"/>
      <c r="V72" s="11"/>
      <c r="AC72" s="8" t="s">
        <v>75</v>
      </c>
    </row>
    <row r="73" spans="1:45" outlineLevel="1" x14ac:dyDescent="0.2">
      <c r="B73" s="219" t="s">
        <v>469</v>
      </c>
      <c r="C73" s="231" t="s">
        <v>187</v>
      </c>
      <c r="D73" s="354">
        <f ca="1">+SUM(F71:AB71)</f>
        <v>2272.3217774068471</v>
      </c>
      <c r="I73" s="134"/>
      <c r="V73" s="11"/>
      <c r="AC73" s="8" t="s">
        <v>75</v>
      </c>
    </row>
    <row r="74" spans="1:45" outlineLevel="1" x14ac:dyDescent="0.2">
      <c r="B74" s="222" t="s">
        <v>644</v>
      </c>
      <c r="C74" s="235" t="s">
        <v>177</v>
      </c>
      <c r="D74" s="236">
        <f ca="1">+G57/D73-1</f>
        <v>6.1438799728412707E-3</v>
      </c>
      <c r="I74" s="134"/>
      <c r="V74" s="11"/>
      <c r="AC74" s="8" t="s">
        <v>75</v>
      </c>
    </row>
    <row r="75" spans="1:45" outlineLevel="1" x14ac:dyDescent="0.2">
      <c r="B75" s="60"/>
      <c r="C75" s="233"/>
      <c r="D75" s="349"/>
      <c r="I75" s="134"/>
      <c r="V75" s="11"/>
      <c r="AC75" s="8" t="s">
        <v>75</v>
      </c>
    </row>
    <row r="76" spans="1:45" s="350" customFormat="1" outlineLevel="1" x14ac:dyDescent="0.2">
      <c r="A76" s="17" t="s">
        <v>75</v>
      </c>
      <c r="B76" s="343" t="s">
        <v>643</v>
      </c>
      <c r="C76" s="351"/>
      <c r="AC76" s="352" t="s">
        <v>75</v>
      </c>
    </row>
    <row r="77" spans="1:45" outlineLevel="1" x14ac:dyDescent="0.2">
      <c r="B77" s="1" t="s">
        <v>507</v>
      </c>
      <c r="C77" s="45" t="s">
        <v>187</v>
      </c>
      <c r="D77" s="262">
        <v>0.25</v>
      </c>
      <c r="E77" s="11">
        <f ca="1">-D99+G57</f>
        <v>-2205.3813403330919</v>
      </c>
      <c r="F77" s="11">
        <f ca="1">+F50*(1-$D77)</f>
        <v>-9.0538623882751743</v>
      </c>
      <c r="G77" s="11">
        <f ca="1">+G50*(1-$D77)</f>
        <v>25.40914350726953</v>
      </c>
      <c r="H77" s="11">
        <f ca="1">+H50*(1-$D77)</f>
        <v>9.182544114101578</v>
      </c>
      <c r="I77" s="11">
        <f ca="1">+I50*(1-$D77)</f>
        <v>1.718975605744766</v>
      </c>
      <c r="J77" s="11">
        <f ca="1">+J50*(1-$D77)</f>
        <v>35.756404783766968</v>
      </c>
      <c r="K77" s="11">
        <f ca="1">+K50*(1-$D77)</f>
        <v>41.217363537278928</v>
      </c>
      <c r="L77" s="11">
        <f ca="1">+L50*(1-$D77)</f>
        <v>8.6954177570169442</v>
      </c>
      <c r="M77" s="11">
        <f ca="1">+M50*(1-$D77)</f>
        <v>27.911582177735291</v>
      </c>
      <c r="N77" s="11">
        <f ca="1">+N50*(1-$D77)</f>
        <v>71.646297843133397</v>
      </c>
      <c r="O77" s="11">
        <f ca="1">+O50*(1-$D77)</f>
        <v>76.283885728596076</v>
      </c>
      <c r="P77" s="11">
        <f ca="1">+P50*(1-$D77)</f>
        <v>33.739219334091359</v>
      </c>
      <c r="Q77" s="11">
        <f ca="1">+Q50*(1-$D77)</f>
        <v>37.38281961205923</v>
      </c>
      <c r="R77" s="11">
        <f ca="1">+R50*(1-$D77)</f>
        <v>89.34938139849082</v>
      </c>
      <c r="S77" s="11">
        <f ca="1">+S50*(1-$D77)</f>
        <v>95.608973373033677</v>
      </c>
      <c r="T77" s="11">
        <f ca="1">+T50*(1-$D77)</f>
        <v>44.839230813044935</v>
      </c>
      <c r="U77" s="11">
        <f ca="1">+U50*(1-$D77)</f>
        <v>44.198921910010903</v>
      </c>
      <c r="V77" s="11">
        <f ca="1">+V50*(1-$D77)</f>
        <v>104.84955306340217</v>
      </c>
      <c r="W77" s="11">
        <f ca="1">+W50*(1-$D77)</f>
        <v>111.93964243296239</v>
      </c>
      <c r="X77" s="11">
        <f ca="1">+X50*(1-$D77)</f>
        <v>53.412053915431045</v>
      </c>
      <c r="Y77" s="11">
        <f ca="1">+Y50*(1-$D77)</f>
        <v>52.266570863058007</v>
      </c>
      <c r="Z77" s="11">
        <f ca="1">+Z50*(1-$D77)</f>
        <v>121.26068999873591</v>
      </c>
      <c r="AA77" s="11">
        <f ca="1">+AA50*(1-$D77)</f>
        <v>129.75153763694533</v>
      </c>
      <c r="AB77" s="11">
        <f ca="1">+AB50*(1-$D77)</f>
        <v>4492.1490098946879</v>
      </c>
      <c r="AC77" s="8" t="s">
        <v>75</v>
      </c>
    </row>
    <row r="78" spans="1:45" outlineLevel="1" x14ac:dyDescent="0.2">
      <c r="B78" s="238" t="s">
        <v>508</v>
      </c>
      <c r="C78" s="239" t="s">
        <v>177</v>
      </c>
      <c r="D78" s="240">
        <f ca="1">+XIRR(E77:AB77,E5:AB5)</f>
        <v>0.19932603240013122</v>
      </c>
      <c r="AC78" s="8" t="s">
        <v>75</v>
      </c>
    </row>
    <row r="79" spans="1:45" outlineLevel="1" x14ac:dyDescent="0.2">
      <c r="B79" s="60"/>
      <c r="C79" s="233"/>
      <c r="D79" s="243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8" t="s">
        <v>75</v>
      </c>
    </row>
    <row r="80" spans="1:45" outlineLevel="1" x14ac:dyDescent="0.2">
      <c r="B80" s="60" t="s">
        <v>635</v>
      </c>
      <c r="C80" s="233"/>
      <c r="D80" s="243"/>
      <c r="F80" s="11">
        <f ca="1">+F77+F48-F31</f>
        <v>3.0179541294250569</v>
      </c>
      <c r="G80" s="11">
        <f ca="1">+G77+G48-G31</f>
        <v>-8.4697145024231801</v>
      </c>
      <c r="H80" s="11">
        <f ca="1">+H77+H48-H31</f>
        <v>-3.0608480380338605</v>
      </c>
      <c r="I80" s="11">
        <f ca="1">+I77+I48-I31</f>
        <v>-0.5729918685815889</v>
      </c>
      <c r="J80" s="11">
        <f ca="1">+J77+J48-J31</f>
        <v>-11.918801594588984</v>
      </c>
      <c r="K80" s="11">
        <f ca="1">+K77+K48-K31</f>
        <v>-13.739121179092976</v>
      </c>
      <c r="L80" s="11">
        <f ca="1">+L77+L48-L31</f>
        <v>-2.8984725856723159</v>
      </c>
      <c r="M80" s="11">
        <f ca="1">+M77+M48-M31</f>
        <v>-9.3038607259117612</v>
      </c>
      <c r="N80" s="11">
        <f ca="1">+N77+N48-N31</f>
        <v>-23.882099281044475</v>
      </c>
      <c r="O80" s="11">
        <f ca="1">+O77+O48-O31</f>
        <v>-25.42796190953203</v>
      </c>
      <c r="P80" s="11">
        <f ca="1">+P77+P48-P31</f>
        <v>-11.246406444697115</v>
      </c>
      <c r="Q80" s="11">
        <f ca="1">+Q77+Q48-Q31</f>
        <v>-12.460939870686417</v>
      </c>
      <c r="R80" s="11">
        <f ca="1">+R77+R48-R31</f>
        <v>-29.783127132830288</v>
      </c>
      <c r="S80" s="11">
        <f ca="1">+S77+S48-S31</f>
        <v>-31.869657791011235</v>
      </c>
      <c r="T80" s="11">
        <f ca="1">+T77+T48-T31</f>
        <v>-14.946410271014983</v>
      </c>
      <c r="U80" s="11">
        <f ca="1">+U77+U48-U31</f>
        <v>-14.732973970003627</v>
      </c>
      <c r="V80" s="11">
        <f ca="1">+V77+V48-V31</f>
        <v>-34.949851021134094</v>
      </c>
      <c r="W80" s="11">
        <f ca="1">+W77+W48-W31</f>
        <v>-37.313214144320796</v>
      </c>
      <c r="X80" s="11">
        <f ca="1">+X77+X48-X31</f>
        <v>-17.804017971810339</v>
      </c>
      <c r="Y80" s="11">
        <f ca="1">+Y77+Y48-Y31</f>
        <v>-17.422190287686007</v>
      </c>
      <c r="Z80" s="11">
        <f ca="1">+Z77+Z48-Z31</f>
        <v>-40.420229999578652</v>
      </c>
      <c r="AA80" s="11">
        <f ca="1">+AA77+AA48-AA31</f>
        <v>-43.250512545648462</v>
      </c>
      <c r="AB80" s="11">
        <f ca="1">+AB77+AB48-AB31</f>
        <v>-1497.3830032982296</v>
      </c>
      <c r="AC80" s="8" t="s">
        <v>75</v>
      </c>
    </row>
    <row r="81" spans="1:29" s="25" customFormat="1" outlineLevel="1" x14ac:dyDescent="0.2">
      <c r="B81" s="26" t="s">
        <v>511</v>
      </c>
      <c r="F81" s="264">
        <f ca="1">+(F77+F48)/F31-1</f>
        <v>-0.13897529815165066</v>
      </c>
      <c r="G81" s="264">
        <f ca="1">+(G77+G48)/G31-1</f>
        <v>-0.134650465485735</v>
      </c>
      <c r="H81" s="264">
        <f ca="1">+(H77+H48)/H31-1</f>
        <v>-0.11079613591086557</v>
      </c>
      <c r="I81" s="264">
        <f ca="1">+(I77+I48)/I31-1</f>
        <v>-0.12160387958786389</v>
      </c>
      <c r="J81" s="264">
        <f ca="1">+(J77+J48)/J31-1</f>
        <v>-0.1450915595183947</v>
      </c>
      <c r="K81" s="264">
        <f ca="1">+(K77+K48)/K31-1</f>
        <v>-0.14158267613114905</v>
      </c>
      <c r="L81" s="264">
        <f ca="1">+(L77+L48)/L31-1</f>
        <v>-0.11600855009367483</v>
      </c>
      <c r="M81" s="264">
        <f ca="1">+(M77+M48)/M31-1</f>
        <v>-0.1275425621537617</v>
      </c>
      <c r="N81" s="264">
        <f ca="1">+(N77+N48)/N31-1</f>
        <v>-0.15086777989613664</v>
      </c>
      <c r="O81" s="264">
        <f ca="1">+(O77+O48)/O31-1</f>
        <v>-0.1475290031342279</v>
      </c>
      <c r="P81" s="264">
        <f ca="1">+(P77+P48)/P31-1</f>
        <v>-0.12197830367241402</v>
      </c>
      <c r="Q81" s="264">
        <f ca="1">+(Q77+Q48)/Q31-1</f>
        <v>-0.14078778915310231</v>
      </c>
      <c r="R81" s="264">
        <f ca="1">+(R77+R48)/R31-1</f>
        <v>-0.16260490089628765</v>
      </c>
      <c r="S81" s="264">
        <f ca="1">+(S77+S48)/S31-1</f>
        <v>-0.15963889766473793</v>
      </c>
      <c r="T81" s="264">
        <f ca="1">+(T77+T48)/T31-1</f>
        <v>-0.13546439965525614</v>
      </c>
      <c r="U81" s="264">
        <f ca="1">+(U77+U48)/U31-1</f>
        <v>-0.14615823732331801</v>
      </c>
      <c r="V81" s="264">
        <f ca="1">+(V77+V48)/V31-1</f>
        <v>-0.16763807479252324</v>
      </c>
      <c r="W81" s="264">
        <f ca="1">+(W77+W48)/W31-1</f>
        <v>-0.16482836706496407</v>
      </c>
      <c r="X81" s="264">
        <f ca="1">+(X77+X48)/X31-1</f>
        <v>-0.14090858367062276</v>
      </c>
      <c r="Y81" s="264">
        <f ca="1">+(Y77+Y48)/Y31-1</f>
        <v>-0.1511302975757417</v>
      </c>
      <c r="Z81" s="264">
        <f ca="1">+(Z77+Z48)/Z31-1</f>
        <v>-0.17221677435800309</v>
      </c>
      <c r="AA81" s="264">
        <f ca="1">+(AA77+AA48)/AA31-1</f>
        <v>-0.16955045403016589</v>
      </c>
      <c r="AB81" s="264">
        <f ca="1">+(AB77+AB48)/AB31-1</f>
        <v>-0.18125000000000002</v>
      </c>
      <c r="AC81" s="88" t="s">
        <v>75</v>
      </c>
    </row>
    <row r="82" spans="1:29" outlineLevel="1" x14ac:dyDescent="0.2">
      <c r="F82" s="263"/>
      <c r="G82" s="263"/>
      <c r="H82" s="263"/>
      <c r="I82" s="263"/>
      <c r="J82" s="263"/>
      <c r="K82" s="263"/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88" t="s">
        <v>75</v>
      </c>
    </row>
    <row r="83" spans="1:29" s="3" customFormat="1" x14ac:dyDescent="0.2">
      <c r="A83" s="17" t="s">
        <v>75</v>
      </c>
      <c r="B83" s="3" t="s">
        <v>408</v>
      </c>
      <c r="C83" s="332"/>
      <c r="AC83" s="87" t="s">
        <v>75</v>
      </c>
    </row>
    <row r="84" spans="1:29" x14ac:dyDescent="0.2">
      <c r="B84" s="1" t="s">
        <v>432</v>
      </c>
      <c r="C84" s="45" t="s">
        <v>187</v>
      </c>
      <c r="F84" s="46">
        <f ca="1">+SUMIFS(Financials!$191:$191,Financials!$3:$3,Valuation!F$3)</f>
        <v>0</v>
      </c>
      <c r="G84" s="46">
        <f ca="1">+SUMIFS(Financials!$191:$191,Financials!$3:$3,Valuation!G$3)</f>
        <v>0</v>
      </c>
      <c r="H84" s="46">
        <f ca="1">+SUMIFS(Financials!$191:$191,Financials!$3:$3,Valuation!H$3)</f>
        <v>0</v>
      </c>
      <c r="I84" s="46">
        <f ca="1">+SUMIFS(Financials!$191:$191,Financials!$3:$3,Valuation!I$3)</f>
        <v>0</v>
      </c>
      <c r="J84" s="46">
        <f ca="1">+SUMIFS(Financials!$191:$191,Financials!$3:$3,Valuation!J$3)</f>
        <v>0</v>
      </c>
      <c r="K84" s="46">
        <f ca="1">+SUMIFS(Financials!$191:$191,Financials!$3:$3,Valuation!K$3)</f>
        <v>74.861066500000007</v>
      </c>
      <c r="L84" s="46">
        <f ca="1">+SUMIFS(Financials!$191:$191,Financials!$3:$3,Valuation!L$3)</f>
        <v>74.861066500000007</v>
      </c>
      <c r="M84" s="46">
        <f ca="1">+SUMIFS(Financials!$191:$191,Financials!$3:$3,Valuation!M$3)</f>
        <v>74.861066500000007</v>
      </c>
      <c r="N84" s="46">
        <f ca="1">+SUMIFS(Financials!$191:$191,Financials!$3:$3,Valuation!N$3)</f>
        <v>74.861066500000007</v>
      </c>
      <c r="O84" s="46">
        <f ca="1">+SUMIFS(Financials!$191:$191,Financials!$3:$3,Valuation!O$3)</f>
        <v>112.29159975000002</v>
      </c>
      <c r="P84" s="46">
        <f ca="1">+SUMIFS(Financials!$191:$191,Financials!$3:$3,Valuation!P$3)</f>
        <v>112.29159975000002</v>
      </c>
      <c r="Q84" s="46">
        <f ca="1">+SUMIFS(Financials!$191:$191,Financials!$3:$3,Valuation!Q$3)</f>
        <v>112.29159975000002</v>
      </c>
      <c r="R84" s="46">
        <f ca="1">+SUMIFS(Financials!$191:$191,Financials!$3:$3,Valuation!R$3)</f>
        <v>112.29159975000002</v>
      </c>
      <c r="S84" s="46">
        <f ca="1">+SUMIFS(Financials!$191:$191,Financials!$3:$3,Valuation!S$3)</f>
        <v>149.72213300000001</v>
      </c>
      <c r="T84" s="46">
        <f ca="1">+SUMIFS(Financials!$191:$191,Financials!$3:$3,Valuation!T$3)</f>
        <v>149.72213300000001</v>
      </c>
      <c r="U84" s="46">
        <f ca="1">+SUMIFS(Financials!$191:$191,Financials!$3:$3,Valuation!U$3)</f>
        <v>149.72213300000001</v>
      </c>
      <c r="V84" s="46">
        <f ca="1">+SUMIFS(Financials!$191:$191,Financials!$3:$3,Valuation!V$3)</f>
        <v>149.72213300000001</v>
      </c>
      <c r="W84" s="46">
        <f ca="1">+SUMIFS(Financials!$191:$191,Financials!$3:$3,Valuation!W$3)</f>
        <v>168.43739962500001</v>
      </c>
      <c r="X84" s="46">
        <f ca="1">+SUMIFS(Financials!$191:$191,Financials!$3:$3,Valuation!X$3)</f>
        <v>168.43739962500001</v>
      </c>
      <c r="Y84" s="46">
        <f ca="1">+SUMIFS(Financials!$191:$191,Financials!$3:$3,Valuation!Y$3)</f>
        <v>168.43739962500001</v>
      </c>
      <c r="Z84" s="46">
        <f ca="1">+SUMIFS(Financials!$191:$191,Financials!$3:$3,Valuation!Z$3)</f>
        <v>168.43739962500001</v>
      </c>
      <c r="AA84" s="46">
        <f ca="1">+SUMIFS(Financials!$191:$191,Financials!$3:$3,Valuation!AA$3)</f>
        <v>187.15266625000001</v>
      </c>
      <c r="AB84" s="46">
        <f ca="1">+SUMIFS(Financials!$191:$191,Financials!$3:$3,Valuation!AB$3)</f>
        <v>187.15266625000001</v>
      </c>
      <c r="AC84" s="8" t="s">
        <v>75</v>
      </c>
    </row>
    <row r="85" spans="1:29" x14ac:dyDescent="0.2">
      <c r="B85" s="1" t="s">
        <v>585</v>
      </c>
      <c r="C85" s="45" t="s">
        <v>187</v>
      </c>
      <c r="F85" s="46">
        <f ca="1">-SUMIFS(Financials!$179:$179,Financials!$3:$3,Valuation!F$3)</f>
        <v>0</v>
      </c>
      <c r="G85" s="46">
        <f ca="1">-SUMIFS(Financials!$179:$179,Financials!$3:$3,Valuation!G$3)</f>
        <v>0</v>
      </c>
      <c r="H85" s="46">
        <f ca="1">-SUMIFS(Financials!$179:$179,Financials!$3:$3,Valuation!H$3)</f>
        <v>0</v>
      </c>
      <c r="I85" s="46">
        <f ca="1">-SUMIFS(Financials!$179:$179,Financials!$3:$3,Valuation!I$3)</f>
        <v>0</v>
      </c>
      <c r="J85" s="46">
        <f ca="1">-SUMIFS(Financials!$179:$179,Financials!$3:$3,Valuation!J$3)</f>
        <v>0</v>
      </c>
      <c r="K85" s="46">
        <f ca="1">-SUMIFS(Financials!$179:$179,Financials!$3:$3,Valuation!K$3)</f>
        <v>0</v>
      </c>
      <c r="L85" s="46">
        <f ca="1">-SUMIFS(Financials!$179:$179,Financials!$3:$3,Valuation!L$3)</f>
        <v>0</v>
      </c>
      <c r="M85" s="46">
        <f ca="1">-SUMIFS(Financials!$179:$179,Financials!$3:$3,Valuation!M$3)</f>
        <v>0</v>
      </c>
      <c r="N85" s="46">
        <f ca="1">-SUMIFS(Financials!$179:$179,Financials!$3:$3,Valuation!N$3)</f>
        <v>0</v>
      </c>
      <c r="O85" s="46">
        <f ca="1">-SUMIFS(Financials!$179:$179,Financials!$3:$3,Valuation!O$3)</f>
        <v>0</v>
      </c>
      <c r="P85" s="46">
        <f ca="1">-SUMIFS(Financials!$179:$179,Financials!$3:$3,Valuation!P$3)</f>
        <v>0</v>
      </c>
      <c r="Q85" s="46">
        <f ca="1">-SUMIFS(Financials!$179:$179,Financials!$3:$3,Valuation!Q$3)</f>
        <v>0</v>
      </c>
      <c r="R85" s="46">
        <f ca="1">-SUMIFS(Financials!$179:$179,Financials!$3:$3,Valuation!R$3)</f>
        <v>0</v>
      </c>
      <c r="S85" s="46">
        <f ca="1">-SUMIFS(Financials!$179:$179,Financials!$3:$3,Valuation!S$3)</f>
        <v>0</v>
      </c>
      <c r="T85" s="46">
        <f ca="1">-SUMIFS(Financials!$179:$179,Financials!$3:$3,Valuation!T$3)</f>
        <v>0</v>
      </c>
      <c r="U85" s="46">
        <f ca="1">-SUMIFS(Financials!$179:$179,Financials!$3:$3,Valuation!U$3)</f>
        <v>0</v>
      </c>
      <c r="V85" s="46">
        <f ca="1">-SUMIFS(Financials!$179:$179,Financials!$3:$3,Valuation!V$3)</f>
        <v>0</v>
      </c>
      <c r="W85" s="46">
        <f ca="1">-SUMIFS(Financials!$179:$179,Financials!$3:$3,Valuation!W$3)</f>
        <v>0</v>
      </c>
      <c r="X85" s="46">
        <f ca="1">-SUMIFS(Financials!$179:$179,Financials!$3:$3,Valuation!X$3)</f>
        <v>0</v>
      </c>
      <c r="Y85" s="46">
        <f ca="1">-SUMIFS(Financials!$179:$179,Financials!$3:$3,Valuation!Y$3)</f>
        <v>0</v>
      </c>
      <c r="Z85" s="46">
        <f ca="1">-SUMIFS(Financials!$179:$179,Financials!$3:$3,Valuation!Z$3)</f>
        <v>0</v>
      </c>
      <c r="AA85" s="46">
        <f ca="1">-SUMIFS(Financials!$179:$179,Financials!$3:$3,Valuation!AA$3)</f>
        <v>0</v>
      </c>
      <c r="AB85" s="46">
        <f ca="1">-SUMIFS(Financials!$179:$179,Financials!$3:$3,Valuation!AB$3)</f>
        <v>0</v>
      </c>
      <c r="AC85" s="8" t="s">
        <v>75</v>
      </c>
    </row>
    <row r="86" spans="1:29" x14ac:dyDescent="0.2">
      <c r="B86" s="1" t="s">
        <v>319</v>
      </c>
      <c r="C86" s="45" t="s">
        <v>187</v>
      </c>
      <c r="F86" s="46">
        <f ca="1">+SUMIFS(Debt!$32:$32,Debt!$3:$3,Valuation!F$3)</f>
        <v>753.92968330561871</v>
      </c>
      <c r="G86" s="46">
        <f ca="1">+SUMIFS(Debt!$32:$32,Debt!$3:$3,Valuation!G$3)</f>
        <v>795.518786191186</v>
      </c>
      <c r="H86" s="46">
        <f ca="1">+SUMIFS(Debt!$32:$32,Debt!$3:$3,Valuation!H$3)</f>
        <v>782.97671964955566</v>
      </c>
      <c r="I86" s="46">
        <f ca="1">+SUMIFS(Debt!$32:$32,Debt!$3:$3,Valuation!I$3)</f>
        <v>807.38104898439838</v>
      </c>
      <c r="J86" s="46">
        <f ca="1">+SUMIFS(Debt!$32:$32,Debt!$3:$3,Valuation!J$3)</f>
        <v>858.65121190676086</v>
      </c>
      <c r="K86" s="46">
        <f ca="1">+SUMIFS(Debt!$32:$32,Debt!$3:$3,Valuation!K$3)</f>
        <v>899.96936771575906</v>
      </c>
      <c r="L86" s="46">
        <f ca="1">+SUMIFS(Debt!$32:$32,Debt!$3:$3,Valuation!L$3)</f>
        <v>929.0189148131301</v>
      </c>
      <c r="M86" s="46">
        <f ca="1">+SUMIFS(Debt!$32:$32,Debt!$3:$3,Valuation!M$3)</f>
        <v>937.06042593609664</v>
      </c>
      <c r="N86" s="46">
        <f ca="1">+SUMIFS(Debt!$32:$32,Debt!$3:$3,Valuation!N$3)</f>
        <v>963.23285975238173</v>
      </c>
      <c r="O86" s="46">
        <f ca="1">+SUMIFS(Debt!$32:$32,Debt!$3:$3,Valuation!O$3)</f>
        <v>984.52411299802384</v>
      </c>
      <c r="P86" s="46">
        <f ca="1">+SUMIFS(Debt!$32:$32,Debt!$3:$3,Valuation!P$3)</f>
        <v>991.62370796281516</v>
      </c>
      <c r="Q86" s="46">
        <f ca="1">+SUMIFS(Debt!$32:$32,Debt!$3:$3,Valuation!Q$3)</f>
        <v>1014.5667290220629</v>
      </c>
      <c r="R86" s="46">
        <f ca="1">+SUMIFS(Debt!$32:$32,Debt!$3:$3,Valuation!R$3)</f>
        <v>1054.6660613192125</v>
      </c>
      <c r="S86" s="46">
        <f ca="1">+SUMIFS(Debt!$32:$32,Debt!$3:$3,Valuation!S$3)</f>
        <v>1092.3857152715591</v>
      </c>
      <c r="T86" s="46">
        <f ca="1">+SUMIFS(Debt!$32:$32,Debt!$3:$3,Valuation!T$3)</f>
        <v>1113.9571052678884</v>
      </c>
      <c r="U86" s="46">
        <f ca="1">+SUMIFS(Debt!$32:$32,Debt!$3:$3,Valuation!U$3)</f>
        <v>1135.0774981512313</v>
      </c>
      <c r="V86" s="46">
        <f ca="1">+SUMIFS(Debt!$32:$32,Debt!$3:$3,Valuation!V$3)</f>
        <v>1173.7430247271741</v>
      </c>
      <c r="W86" s="46">
        <f ca="1">+SUMIFS(Debt!$32:$32,Debt!$3:$3,Valuation!W$3)</f>
        <v>1210.6229846021326</v>
      </c>
      <c r="X86" s="46">
        <f ca="1">+SUMIFS(Debt!$32:$32,Debt!$3:$3,Valuation!X$3)</f>
        <v>1228.7674550929478</v>
      </c>
      <c r="Y86" s="46">
        <f ca="1">+SUMIFS(Debt!$32:$32,Debt!$3:$3,Valuation!Y$3)</f>
        <v>1251.1221008791324</v>
      </c>
      <c r="Z86" s="46">
        <f ca="1">+SUMIFS(Debt!$32:$32,Debt!$3:$3,Valuation!Z$3)</f>
        <v>1292.2140854088591</v>
      </c>
      <c r="AA86" s="46">
        <f ca="1">+SUMIFS(Debt!$32:$32,Debt!$3:$3,Valuation!AA$3)</f>
        <v>1331.3960260084104</v>
      </c>
      <c r="AB86" s="46">
        <f ca="1">+SUMIFS(Debt!$32:$32,Debt!$3:$3,Valuation!AB$3)</f>
        <v>1350.6187849424061</v>
      </c>
      <c r="AC86" s="8" t="s">
        <v>75</v>
      </c>
    </row>
    <row r="87" spans="1:29" x14ac:dyDescent="0.2">
      <c r="B87" s="1" t="s">
        <v>385</v>
      </c>
      <c r="C87" s="45" t="s">
        <v>187</v>
      </c>
      <c r="D87" s="196">
        <f ca="1">+Ctrl!$G$22</f>
        <v>9.1999999999999993</v>
      </c>
      <c r="E87" s="23"/>
      <c r="F87" s="23">
        <f t="shared" ref="F87:AB87" ca="1" si="28">+$D87*F86*F$12</f>
        <v>0</v>
      </c>
      <c r="G87" s="23">
        <f t="shared" ca="1" si="28"/>
        <v>0</v>
      </c>
      <c r="H87" s="23">
        <f t="shared" ca="1" si="28"/>
        <v>0</v>
      </c>
      <c r="I87" s="23">
        <f t="shared" ca="1" si="28"/>
        <v>0</v>
      </c>
      <c r="J87" s="23">
        <f t="shared" ca="1" si="28"/>
        <v>0</v>
      </c>
      <c r="K87" s="23">
        <f t="shared" ca="1" si="28"/>
        <v>0</v>
      </c>
      <c r="L87" s="23">
        <f t="shared" ca="1" si="28"/>
        <v>0</v>
      </c>
      <c r="M87" s="23">
        <f t="shared" ca="1" si="28"/>
        <v>0</v>
      </c>
      <c r="N87" s="23">
        <f t="shared" ca="1" si="28"/>
        <v>0</v>
      </c>
      <c r="O87" s="23">
        <f t="shared" ca="1" si="28"/>
        <v>0</v>
      </c>
      <c r="P87" s="23">
        <f t="shared" ca="1" si="28"/>
        <v>0</v>
      </c>
      <c r="Q87" s="23">
        <f t="shared" ca="1" si="28"/>
        <v>0</v>
      </c>
      <c r="R87" s="23">
        <f t="shared" ca="1" si="28"/>
        <v>0</v>
      </c>
      <c r="S87" s="23">
        <f t="shared" ca="1" si="28"/>
        <v>0</v>
      </c>
      <c r="T87" s="23">
        <f t="shared" ca="1" si="28"/>
        <v>0</v>
      </c>
      <c r="U87" s="23">
        <f t="shared" ca="1" si="28"/>
        <v>0</v>
      </c>
      <c r="V87" s="23">
        <f t="shared" ca="1" si="28"/>
        <v>0</v>
      </c>
      <c r="W87" s="23">
        <f t="shared" ca="1" si="28"/>
        <v>0</v>
      </c>
      <c r="X87" s="23">
        <f t="shared" ca="1" si="28"/>
        <v>0</v>
      </c>
      <c r="Y87" s="23">
        <f t="shared" ca="1" si="28"/>
        <v>0</v>
      </c>
      <c r="Z87" s="23">
        <f t="shared" ca="1" si="28"/>
        <v>0</v>
      </c>
      <c r="AA87" s="23">
        <f t="shared" ca="1" si="28"/>
        <v>0</v>
      </c>
      <c r="AB87" s="23">
        <f t="shared" ca="1" si="28"/>
        <v>12425.692821470135</v>
      </c>
      <c r="AC87" s="8" t="s">
        <v>75</v>
      </c>
    </row>
    <row r="88" spans="1:29" x14ac:dyDescent="0.2">
      <c r="B88" s="1" t="s">
        <v>152</v>
      </c>
      <c r="C88" s="45" t="s">
        <v>187</v>
      </c>
      <c r="E88" s="46"/>
      <c r="F88" s="46">
        <f ca="1">-SUMIFS(Debt!$22:$22,Debt!$3:$3,Valuation!F$3)*F12</f>
        <v>0</v>
      </c>
      <c r="G88" s="46">
        <f ca="1">-SUMIFS(Debt!$22:$22,Debt!$3:$3,Valuation!G$3)*G12</f>
        <v>0</v>
      </c>
      <c r="H88" s="46">
        <f ca="1">-SUMIFS(Debt!$22:$22,Debt!$3:$3,Valuation!H$3)*H12</f>
        <v>0</v>
      </c>
      <c r="I88" s="46">
        <f ca="1">-SUMIFS(Debt!$22:$22,Debt!$3:$3,Valuation!I$3)*I12</f>
        <v>0</v>
      </c>
      <c r="J88" s="46">
        <f ca="1">-SUMIFS(Debt!$22:$22,Debt!$3:$3,Valuation!J$3)*J12</f>
        <v>0</v>
      </c>
      <c r="K88" s="46">
        <f ca="1">-SUMIFS(Debt!$22:$22,Debt!$3:$3,Valuation!K$3)*K12</f>
        <v>0</v>
      </c>
      <c r="L88" s="46">
        <f ca="1">-SUMIFS(Debt!$22:$22,Debt!$3:$3,Valuation!L$3)*L12</f>
        <v>0</v>
      </c>
      <c r="M88" s="46">
        <f ca="1">-SUMIFS(Debt!$22:$22,Debt!$3:$3,Valuation!M$3)*M12</f>
        <v>0</v>
      </c>
      <c r="N88" s="46">
        <f ca="1">-SUMIFS(Debt!$22:$22,Debt!$3:$3,Valuation!N$3)*N12</f>
        <v>0</v>
      </c>
      <c r="O88" s="46">
        <f ca="1">-SUMIFS(Debt!$22:$22,Debt!$3:$3,Valuation!O$3)*O12</f>
        <v>0</v>
      </c>
      <c r="P88" s="46">
        <f ca="1">-SUMIFS(Debt!$22:$22,Debt!$3:$3,Valuation!P$3)*P12</f>
        <v>0</v>
      </c>
      <c r="Q88" s="46">
        <f ca="1">-SUMIFS(Debt!$22:$22,Debt!$3:$3,Valuation!Q$3)*Q12</f>
        <v>0</v>
      </c>
      <c r="R88" s="46">
        <f ca="1">-SUMIFS(Debt!$22:$22,Debt!$3:$3,Valuation!R$3)*R12</f>
        <v>0</v>
      </c>
      <c r="S88" s="46">
        <f ca="1">-SUMIFS(Debt!$22:$22,Debt!$3:$3,Valuation!S$3)*S12</f>
        <v>0</v>
      </c>
      <c r="T88" s="46">
        <f ca="1">-SUMIFS(Debt!$22:$22,Debt!$3:$3,Valuation!T$3)*T12</f>
        <v>0</v>
      </c>
      <c r="U88" s="46">
        <f ca="1">-SUMIFS(Debt!$22:$22,Debt!$3:$3,Valuation!U$3)*U12</f>
        <v>0</v>
      </c>
      <c r="V88" s="46">
        <f ca="1">-SUMIFS(Debt!$22:$22,Debt!$3:$3,Valuation!V$3)*V12</f>
        <v>0</v>
      </c>
      <c r="W88" s="46">
        <f ca="1">-SUMIFS(Debt!$22:$22,Debt!$3:$3,Valuation!W$3)*W12</f>
        <v>0</v>
      </c>
      <c r="X88" s="46">
        <f ca="1">-SUMIFS(Debt!$22:$22,Debt!$3:$3,Valuation!X$3)*X12</f>
        <v>0</v>
      </c>
      <c r="Y88" s="46">
        <f ca="1">-SUMIFS(Debt!$22:$22,Debt!$3:$3,Valuation!Y$3)*Y12</f>
        <v>0</v>
      </c>
      <c r="Z88" s="46">
        <f ca="1">-SUMIFS(Debt!$22:$22,Debt!$3:$3,Valuation!Z$3)*Z12</f>
        <v>0</v>
      </c>
      <c r="AA88" s="46">
        <f ca="1">-SUMIFS(Debt!$22:$22,Debt!$3:$3,Valuation!AA$3)*AA12</f>
        <v>0</v>
      </c>
      <c r="AB88" s="46">
        <f ca="1">-SUMIFS(Debt!$22:$22,Debt!$3:$3,Valuation!AB$3)*AB12</f>
        <v>-3243.3398111690053</v>
      </c>
      <c r="AC88" s="8" t="s">
        <v>75</v>
      </c>
    </row>
    <row r="89" spans="1:29" s="230" customFormat="1" x14ac:dyDescent="0.2">
      <c r="B89" s="229" t="s">
        <v>386</v>
      </c>
      <c r="C89" s="45" t="s">
        <v>187</v>
      </c>
      <c r="E89" s="209">
        <f ca="1">-$D$99</f>
        <v>-4491.66399</v>
      </c>
      <c r="F89" s="108">
        <f ca="1">+F87+F88+F84+F85</f>
        <v>0</v>
      </c>
      <c r="G89" s="108">
        <f t="shared" ref="G89:AB89" ca="1" si="29">+G87+G88+G84+G85</f>
        <v>0</v>
      </c>
      <c r="H89" s="108">
        <f t="shared" ca="1" si="29"/>
        <v>0</v>
      </c>
      <c r="I89" s="108">
        <f t="shared" ca="1" si="29"/>
        <v>0</v>
      </c>
      <c r="J89" s="108">
        <f t="shared" ca="1" si="29"/>
        <v>0</v>
      </c>
      <c r="K89" s="108">
        <f t="shared" ca="1" si="29"/>
        <v>74.861066500000007</v>
      </c>
      <c r="L89" s="108">
        <f t="shared" ca="1" si="29"/>
        <v>74.861066500000007</v>
      </c>
      <c r="M89" s="108">
        <f t="shared" ca="1" si="29"/>
        <v>74.861066500000007</v>
      </c>
      <c r="N89" s="108">
        <f t="shared" ca="1" si="29"/>
        <v>74.861066500000007</v>
      </c>
      <c r="O89" s="108">
        <f t="shared" ca="1" si="29"/>
        <v>112.29159975000002</v>
      </c>
      <c r="P89" s="108">
        <f t="shared" ca="1" si="29"/>
        <v>112.29159975000002</v>
      </c>
      <c r="Q89" s="108">
        <f t="shared" ca="1" si="29"/>
        <v>112.29159975000002</v>
      </c>
      <c r="R89" s="108">
        <f t="shared" ca="1" si="29"/>
        <v>112.29159975000002</v>
      </c>
      <c r="S89" s="108">
        <f t="shared" ca="1" si="29"/>
        <v>149.72213300000001</v>
      </c>
      <c r="T89" s="108">
        <f t="shared" ca="1" si="29"/>
        <v>149.72213300000001</v>
      </c>
      <c r="U89" s="108">
        <f t="shared" ca="1" si="29"/>
        <v>149.72213300000001</v>
      </c>
      <c r="V89" s="108">
        <f t="shared" ca="1" si="29"/>
        <v>149.72213300000001</v>
      </c>
      <c r="W89" s="108">
        <f t="shared" ca="1" si="29"/>
        <v>168.43739962500001</v>
      </c>
      <c r="X89" s="108">
        <f t="shared" ca="1" si="29"/>
        <v>168.43739962500001</v>
      </c>
      <c r="Y89" s="108">
        <f t="shared" ca="1" si="29"/>
        <v>168.43739962500001</v>
      </c>
      <c r="Z89" s="108">
        <f t="shared" ca="1" si="29"/>
        <v>168.43739962500001</v>
      </c>
      <c r="AA89" s="108">
        <f t="shared" ca="1" si="29"/>
        <v>187.15266625000001</v>
      </c>
      <c r="AB89" s="108">
        <f t="shared" ca="1" si="29"/>
        <v>9369.505676551129</v>
      </c>
      <c r="AC89" s="8" t="s">
        <v>75</v>
      </c>
    </row>
    <row r="90" spans="1:29" x14ac:dyDescent="0.2">
      <c r="B90" s="1" t="s">
        <v>389</v>
      </c>
      <c r="C90" s="45" t="s">
        <v>187</v>
      </c>
      <c r="F90" s="11">
        <f ca="1">+F89/F14</f>
        <v>0</v>
      </c>
      <c r="G90" s="11">
        <f ca="1">+G89/G14</f>
        <v>0</v>
      </c>
      <c r="H90" s="11">
        <f ca="1">+H89/H14</f>
        <v>0</v>
      </c>
      <c r="I90" s="11">
        <f ca="1">+I89/I14</f>
        <v>0</v>
      </c>
      <c r="J90" s="11">
        <f ca="1">+J89/J14</f>
        <v>0</v>
      </c>
      <c r="K90" s="11">
        <f ca="1">+K89/K14</f>
        <v>62.727380873370933</v>
      </c>
      <c r="L90" s="11">
        <f ca="1">+L89/L14</f>
        <v>60.892515563316962</v>
      </c>
      <c r="M90" s="11">
        <f ca="1">+M89/M14</f>
        <v>59.149484641975313</v>
      </c>
      <c r="N90" s="11">
        <f ca="1">+N89/N14</f>
        <v>57.437809700260466</v>
      </c>
      <c r="O90" s="11">
        <f ca="1">+O89/O14</f>
        <v>83.636507831161268</v>
      </c>
      <c r="P90" s="11">
        <f ca="1">+P89/P14</f>
        <v>81.190020751089293</v>
      </c>
      <c r="Q90" s="11">
        <f ca="1">+Q89/Q14</f>
        <v>78.840534109267779</v>
      </c>
      <c r="R90" s="11">
        <f ca="1">+R89/R14</f>
        <v>76.559037196098018</v>
      </c>
      <c r="S90" s="11">
        <f ca="1">+S89/S14</f>
        <v>99.092768294959413</v>
      </c>
      <c r="T90" s="11">
        <f ca="1">+T89/T14</f>
        <v>96.194163563021306</v>
      </c>
      <c r="U90" s="11">
        <f ca="1">+U89/U14</f>
        <v>93.440633018391438</v>
      </c>
      <c r="V90" s="11">
        <f ca="1">+V89/V14</f>
        <v>90.736636676856918</v>
      </c>
      <c r="W90" s="11">
        <f ca="1">+W89/W14</f>
        <v>99.092768294959413</v>
      </c>
      <c r="X90" s="11">
        <f ca="1">+X89/X14</f>
        <v>96.194163563021306</v>
      </c>
      <c r="Y90" s="11">
        <f ca="1">+Y89/Y14</f>
        <v>93.440633018391438</v>
      </c>
      <c r="Z90" s="11">
        <f ca="1">+Z89/Z14</f>
        <v>90.736636676856904</v>
      </c>
      <c r="AA90" s="11">
        <f ca="1">+AA89/AA14</f>
        <v>97.869400785145089</v>
      </c>
      <c r="AB90" s="11">
        <f ca="1">+AB89/AB14</f>
        <v>4756.355977216479</v>
      </c>
      <c r="AC90" s="8" t="s">
        <v>75</v>
      </c>
    </row>
    <row r="91" spans="1:29" s="60" customFormat="1" x14ac:dyDescent="0.2">
      <c r="B91" s="219" t="s">
        <v>408</v>
      </c>
      <c r="C91" s="231" t="s">
        <v>177</v>
      </c>
      <c r="D91" s="302">
        <f ca="1">+XIRR(E89:AB89,$E$5:$AB$5)</f>
        <v>0.19531261324882507</v>
      </c>
      <c r="I91" s="227"/>
      <c r="AC91" s="8" t="s">
        <v>75</v>
      </c>
    </row>
    <row r="92" spans="1:29" s="60" customFormat="1" x14ac:dyDescent="0.2">
      <c r="B92" s="154" t="s">
        <v>586</v>
      </c>
      <c r="C92" s="54" t="s">
        <v>338</v>
      </c>
      <c r="D92" s="234">
        <f ca="1">+SUM(F90:AB90)/(D$58/1000)</f>
        <v>8.2467260492136081</v>
      </c>
      <c r="I92" s="227"/>
      <c r="AC92" s="8" t="s">
        <v>75</v>
      </c>
    </row>
    <row r="93" spans="1:29" s="60" customFormat="1" x14ac:dyDescent="0.2">
      <c r="B93" s="222" t="s">
        <v>587</v>
      </c>
      <c r="C93" s="235" t="s">
        <v>177</v>
      </c>
      <c r="D93" s="236">
        <f ca="1">+D92/SharePrice-1</f>
        <v>0.37445434153560142</v>
      </c>
      <c r="I93" s="227"/>
      <c r="AC93" s="8" t="s">
        <v>75</v>
      </c>
    </row>
    <row r="94" spans="1:29" s="60" customFormat="1" x14ac:dyDescent="0.2">
      <c r="I94" s="227"/>
      <c r="AC94" s="8" t="s">
        <v>75</v>
      </c>
    </row>
    <row r="95" spans="1:29" s="3" customFormat="1" x14ac:dyDescent="0.2">
      <c r="A95" s="17" t="s">
        <v>75</v>
      </c>
      <c r="B95" s="3" t="s">
        <v>446</v>
      </c>
      <c r="C95" s="332"/>
      <c r="AC95" s="87" t="s">
        <v>75</v>
      </c>
    </row>
    <row r="96" spans="1:29" x14ac:dyDescent="0.2">
      <c r="B96" s="1" t="s">
        <v>319</v>
      </c>
      <c r="C96" s="45" t="s">
        <v>187</v>
      </c>
      <c r="D96" s="46">
        <f ca="1">+SUMIFS(Debt!$32:$32,Debt!$3:$3,Valuation!E$3)</f>
        <v>694.67383137731611</v>
      </c>
      <c r="F96" s="46">
        <f ca="1">+SUMIFS(Debt!$32:$32,Debt!$3:$3,Valuation!F$3)</f>
        <v>753.92968330561871</v>
      </c>
      <c r="G96" s="46">
        <f ca="1">+SUMIFS(Debt!$32:$32,Debt!$3:$3,Valuation!G$3)</f>
        <v>795.518786191186</v>
      </c>
      <c r="H96" s="46">
        <f ca="1">+SUMIFS(Debt!$32:$32,Debt!$3:$3,Valuation!H$3)</f>
        <v>782.97671964955566</v>
      </c>
      <c r="I96" s="46">
        <f ca="1">+SUMIFS(Debt!$32:$32,Debt!$3:$3,Valuation!I$3)</f>
        <v>807.38104898439838</v>
      </c>
      <c r="J96" s="46">
        <f ca="1">+SUMIFS(Debt!$32:$32,Debt!$3:$3,Valuation!J$3)</f>
        <v>858.65121190676086</v>
      </c>
      <c r="K96" s="46">
        <f ca="1">+SUMIFS(Debt!$32:$32,Debt!$3:$3,Valuation!K$3)</f>
        <v>899.96936771575906</v>
      </c>
      <c r="L96" s="46">
        <f ca="1">+SUMIFS(Debt!$32:$32,Debt!$3:$3,Valuation!L$3)</f>
        <v>929.0189148131301</v>
      </c>
      <c r="M96" s="46">
        <f ca="1">+SUMIFS(Debt!$32:$32,Debt!$3:$3,Valuation!M$3)</f>
        <v>937.06042593609664</v>
      </c>
      <c r="N96" s="46">
        <f ca="1">+SUMIFS(Debt!$32:$32,Debt!$3:$3,Valuation!N$3)</f>
        <v>963.23285975238173</v>
      </c>
      <c r="O96" s="46">
        <f ca="1">+SUMIFS(Debt!$32:$32,Debt!$3:$3,Valuation!O$3)</f>
        <v>984.52411299802384</v>
      </c>
      <c r="P96" s="46">
        <f ca="1">+SUMIFS(Debt!$32:$32,Debt!$3:$3,Valuation!P$3)</f>
        <v>991.62370796281516</v>
      </c>
      <c r="Q96" s="46">
        <f ca="1">+SUMIFS(Debt!$32:$32,Debt!$3:$3,Valuation!Q$3)</f>
        <v>1014.5667290220629</v>
      </c>
      <c r="R96" s="46">
        <f ca="1">+SUMIFS(Debt!$32:$32,Debt!$3:$3,Valuation!R$3)</f>
        <v>1054.6660613192125</v>
      </c>
      <c r="S96" s="46">
        <f ca="1">+SUMIFS(Debt!$32:$32,Debt!$3:$3,Valuation!S$3)</f>
        <v>1092.3857152715591</v>
      </c>
      <c r="T96" s="46">
        <f ca="1">+SUMIFS(Debt!$32:$32,Debt!$3:$3,Valuation!T$3)</f>
        <v>1113.9571052678884</v>
      </c>
      <c r="U96" s="46">
        <f ca="1">+SUMIFS(Debt!$32:$32,Debt!$3:$3,Valuation!U$3)</f>
        <v>1135.0774981512313</v>
      </c>
      <c r="V96" s="46">
        <f ca="1">+SUMIFS(Debt!$32:$32,Debt!$3:$3,Valuation!V$3)</f>
        <v>1173.7430247271741</v>
      </c>
      <c r="W96" s="46">
        <f ca="1">+SUMIFS(Debt!$32:$32,Debt!$3:$3,Valuation!W$3)</f>
        <v>1210.6229846021326</v>
      </c>
      <c r="X96" s="46">
        <f ca="1">+SUMIFS(Debt!$32:$32,Debt!$3:$3,Valuation!X$3)</f>
        <v>1228.7674550929478</v>
      </c>
      <c r="Y96" s="46">
        <f ca="1">+SUMIFS(Debt!$32:$32,Debt!$3:$3,Valuation!Y$3)</f>
        <v>1251.1221008791324</v>
      </c>
      <c r="Z96" s="46">
        <f ca="1">+SUMIFS(Debt!$32:$32,Debt!$3:$3,Valuation!Z$3)</f>
        <v>1292.2140854088591</v>
      </c>
      <c r="AA96" s="46">
        <f ca="1">+SUMIFS(Debt!$32:$32,Debt!$3:$3,Valuation!AA$3)</f>
        <v>1331.3960260084104</v>
      </c>
      <c r="AB96" s="46">
        <f ca="1">+SUMIFS(Debt!$32:$32,Debt!$3:$3,Valuation!AB$3)</f>
        <v>1350.6187849424061</v>
      </c>
      <c r="AC96" s="8" t="s">
        <v>75</v>
      </c>
    </row>
    <row r="97" spans="1:29" x14ac:dyDescent="0.2">
      <c r="B97" s="1" t="s">
        <v>423</v>
      </c>
      <c r="C97" s="45" t="s">
        <v>187</v>
      </c>
      <c r="D97" s="46">
        <f ca="1">+SUMIFS(Segments!$63:$63,Segments!$3:$3,E$3)</f>
        <v>782.97671964955566</v>
      </c>
      <c r="F97" s="46">
        <f ca="1">+SUMIFS(Segments!$63:$63,Segments!$3:$3,F$3)</f>
        <v>807.38104898439838</v>
      </c>
      <c r="G97" s="46">
        <f ca="1">+SUMIFS(Segments!$63:$63,Segments!$3:$3,G$3)</f>
        <v>858.65121190676086</v>
      </c>
      <c r="H97" s="46">
        <f ca="1">+SUMIFS(Segments!$63:$63,Segments!$3:$3,H$3)</f>
        <v>899.96936771575906</v>
      </c>
      <c r="I97" s="46">
        <f ca="1">+SUMIFS(Segments!$63:$63,Segments!$3:$3,I$3)</f>
        <v>929.0189148131301</v>
      </c>
      <c r="J97" s="46">
        <f ca="1">+SUMIFS(Segments!$63:$63,Segments!$3:$3,J$3)</f>
        <v>937.06042593609664</v>
      </c>
      <c r="K97" s="46">
        <f ca="1">+SUMIFS(Segments!$63:$63,Segments!$3:$3,K$3)</f>
        <v>963.23285975238173</v>
      </c>
      <c r="L97" s="46">
        <f ca="1">+SUMIFS(Segments!$63:$63,Segments!$3:$3,L$3)</f>
        <v>984.52411299802384</v>
      </c>
      <c r="M97" s="46">
        <f ca="1">+SUMIFS(Segments!$63:$63,Segments!$3:$3,M$3)</f>
        <v>991.62370796281516</v>
      </c>
      <c r="N97" s="46">
        <f ca="1">+SUMIFS(Segments!$63:$63,Segments!$3:$3,N$3)</f>
        <v>1014.5667290220629</v>
      </c>
      <c r="O97" s="46">
        <f ca="1">+SUMIFS(Segments!$63:$63,Segments!$3:$3,O$3)</f>
        <v>1054.6660613192125</v>
      </c>
      <c r="P97" s="46">
        <f ca="1">+SUMIFS(Segments!$63:$63,Segments!$3:$3,P$3)</f>
        <v>1092.3857152715591</v>
      </c>
      <c r="Q97" s="46">
        <f ca="1">+SUMIFS(Segments!$63:$63,Segments!$3:$3,Q$3)</f>
        <v>1113.9571052678884</v>
      </c>
      <c r="R97" s="46">
        <f ca="1">+SUMIFS(Segments!$63:$63,Segments!$3:$3,R$3)</f>
        <v>1135.0774981512313</v>
      </c>
      <c r="S97" s="46">
        <f ca="1">+SUMIFS(Segments!$63:$63,Segments!$3:$3,S$3)</f>
        <v>1173.7430247271741</v>
      </c>
      <c r="T97" s="46">
        <f ca="1">+SUMIFS(Segments!$63:$63,Segments!$3:$3,T$3)</f>
        <v>1210.6229846021326</v>
      </c>
      <c r="U97" s="46">
        <f ca="1">+SUMIFS(Segments!$63:$63,Segments!$3:$3,U$3)</f>
        <v>1228.7674550929478</v>
      </c>
      <c r="V97" s="46">
        <f ca="1">+SUMIFS(Segments!$63:$63,Segments!$3:$3,V$3)</f>
        <v>1251.1221008791324</v>
      </c>
      <c r="W97" s="46">
        <f ca="1">+SUMIFS(Segments!$63:$63,Segments!$3:$3,W$3)</f>
        <v>1292.2140854088591</v>
      </c>
      <c r="X97" s="46">
        <f ca="1">+SUMIFS(Segments!$63:$63,Segments!$3:$3,X$3)</f>
        <v>1331.3960260084104</v>
      </c>
      <c r="Y97" s="46">
        <f ca="1">+SUMIFS(Segments!$63:$63,Segments!$3:$3,Y$3)</f>
        <v>1350.6187849424061</v>
      </c>
      <c r="Z97" s="46">
        <f ca="1">+SUMIFS(Segments!$63:$63,Segments!$3:$3,Z$3)</f>
        <v>1395.2637106042332</v>
      </c>
      <c r="AA97" s="46">
        <f ca="1">+SUMIFS(Segments!$63:$63,Segments!$3:$3,AA$3)</f>
        <v>1439.9086362660603</v>
      </c>
      <c r="AB97" s="46">
        <f ca="1">+SUMIFS(Segments!$63:$63,Segments!$3:$3,AB$3)</f>
        <v>1484.5535619278876</v>
      </c>
      <c r="AC97" s="8" t="s">
        <v>75</v>
      </c>
    </row>
    <row r="98" spans="1:29" x14ac:dyDescent="0.2">
      <c r="AC98" s="8" t="s">
        <v>75</v>
      </c>
    </row>
    <row r="99" spans="1:29" x14ac:dyDescent="0.2">
      <c r="B99" s="1" t="s">
        <v>395</v>
      </c>
      <c r="C99" s="45" t="s">
        <v>187</v>
      </c>
      <c r="D99" s="11">
        <f ca="1">+D38*D41/1000</f>
        <v>4491.66399</v>
      </c>
      <c r="F99" s="11">
        <f t="shared" ref="F99:AB99" ca="1" si="30">+F101-F100</f>
        <v>4687.0469435965097</v>
      </c>
      <c r="G99" s="11">
        <f t="shared" ca="1" si="30"/>
        <v>5228.4288815507443</v>
      </c>
      <c r="H99" s="11">
        <f t="shared" ca="1" si="30"/>
        <v>5637.5942341402151</v>
      </c>
      <c r="I99" s="11">
        <f t="shared" ca="1" si="30"/>
        <v>5904.4236907026898</v>
      </c>
      <c r="J99" s="11">
        <f t="shared" ca="1" si="30"/>
        <v>6044.1638608045578</v>
      </c>
      <c r="K99" s="11">
        <f t="shared" ca="1" si="30"/>
        <v>6300.3209580440871</v>
      </c>
      <c r="L99" s="11">
        <f t="shared" ca="1" si="30"/>
        <v>6436.8234582952991</v>
      </c>
      <c r="M99" s="11">
        <f t="shared" ca="1" si="30"/>
        <v>6483.1534607641233</v>
      </c>
      <c r="N99" s="11">
        <f t="shared" ca="1" si="30"/>
        <v>6768.897714191351</v>
      </c>
      <c r="O99" s="11">
        <f t="shared" ca="1" si="30"/>
        <v>7198.1737020694345</v>
      </c>
      <c r="P99" s="11">
        <f t="shared" ca="1" si="30"/>
        <v>7524.0304608327706</v>
      </c>
      <c r="Q99" s="11">
        <f t="shared" ca="1" si="30"/>
        <v>7689.0219986603233</v>
      </c>
      <c r="R99" s="11">
        <f t="shared" ca="1" si="30"/>
        <v>7944.1737949454709</v>
      </c>
      <c r="S99" s="11">
        <f t="shared" ca="1" si="30"/>
        <v>8349.0531597509926</v>
      </c>
      <c r="T99" s="11">
        <f t="shared" ca="1" si="30"/>
        <v>8647.1506363038861</v>
      </c>
      <c r="U99" s="11">
        <f t="shared" ca="1" si="30"/>
        <v>8753.3656568786682</v>
      </c>
      <c r="V99" s="11">
        <f t="shared" ca="1" si="30"/>
        <v>9008.1242794621994</v>
      </c>
      <c r="W99" s="11">
        <f t="shared" ca="1" si="30"/>
        <v>9444.3453286778895</v>
      </c>
      <c r="X99" s="11">
        <f t="shared" ca="1" si="30"/>
        <v>9761.8484810379268</v>
      </c>
      <c r="Y99" s="11">
        <f t="shared" ca="1" si="30"/>
        <v>9874.022486201673</v>
      </c>
      <c r="Z99" s="11">
        <f t="shared" ca="1" si="30"/>
        <v>10352.888904110921</v>
      </c>
      <c r="AA99" s="11">
        <f t="shared" ca="1" si="30"/>
        <v>10833.382717369201</v>
      </c>
      <c r="AB99" s="11">
        <f t="shared" ca="1" si="30"/>
        <v>11202.330730873482</v>
      </c>
      <c r="AC99" s="8" t="s">
        <v>75</v>
      </c>
    </row>
    <row r="100" spans="1:29" x14ac:dyDescent="0.2">
      <c r="B100" s="1" t="s">
        <v>152</v>
      </c>
      <c r="C100" s="45" t="s">
        <v>187</v>
      </c>
      <c r="D100" s="46">
        <f ca="1">SUMIFS(Debt!$22:$22,Debt!$3:$3,Valuation!E$3)</f>
        <v>3127.2081236193408</v>
      </c>
      <c r="F100" s="46">
        <f ca="1">SUMIFS(Debt!$22:$22,Debt!$3:$3,Valuation!F$3)</f>
        <v>3169.295147807145</v>
      </c>
      <c r="G100" s="46">
        <f ca="1">SUMIFS(Debt!$22:$22,Debt!$3:$3,Valuation!G$3)</f>
        <v>3126.8052008239079</v>
      </c>
      <c r="H100" s="46">
        <f ca="1">SUMIFS(Debt!$22:$22,Debt!$3:$3,Valuation!H$3)</f>
        <v>3119.692345044627</v>
      </c>
      <c r="I100" s="46">
        <f ca="1">SUMIFS(Debt!$22:$22,Debt!$3:$3,Valuation!I$3)</f>
        <v>3135.5338526871842</v>
      </c>
      <c r="J100" s="46">
        <f ca="1">SUMIFS(Debt!$22:$22,Debt!$3:$3,Valuation!J$3)</f>
        <v>3074.0428096775631</v>
      </c>
      <c r="K100" s="46">
        <f ca="1">SUMIFS(Debt!$22:$22,Debt!$3:$3,Valuation!K$3)</f>
        <v>3072.5604954094761</v>
      </c>
      <c r="L100" s="46">
        <f ca="1">SUMIFS(Debt!$22:$22,Debt!$3:$3,Valuation!L$3)</f>
        <v>3143.2357203016568</v>
      </c>
      <c r="M100" s="46">
        <f ca="1">SUMIFS(Debt!$22:$22,Debt!$3:$3,Valuation!M$3)</f>
        <v>3165.9893888255656</v>
      </c>
      <c r="N100" s="46">
        <f ca="1">SUMIFS(Debt!$22:$22,Debt!$3:$3,Valuation!N$3)</f>
        <v>3103.4956343770568</v>
      </c>
      <c r="O100" s="46">
        <f ca="1">SUMIFS(Debt!$22:$22,Debt!$3:$3,Valuation!O$3)</f>
        <v>3064.4121987759422</v>
      </c>
      <c r="P100" s="46">
        <f ca="1">SUMIFS(Debt!$22:$22,Debt!$3:$3,Valuation!P$3)</f>
        <v>3105.5921761259497</v>
      </c>
      <c r="Q100" s="46">
        <f ca="1">SUMIFS(Debt!$22:$22,Debt!$3:$3,Valuation!Q$3)</f>
        <v>3150.5042760062979</v>
      </c>
      <c r="R100" s="46">
        <f ca="1">SUMIFS(Debt!$22:$22,Debt!$3:$3,Valuation!R$3)</f>
        <v>3100.867622546351</v>
      </c>
      <c r="S100" s="46">
        <f ca="1">SUMIFS(Debt!$22:$22,Debt!$3:$3,Valuation!S$3)</f>
        <v>3072.2289489323989</v>
      </c>
      <c r="T100" s="46">
        <f ca="1">SUMIFS(Debt!$22:$22,Debt!$3:$3,Valuation!T$3)</f>
        <v>3132.997439644133</v>
      </c>
      <c r="U100" s="46">
        <f ca="1">SUMIFS(Debt!$22:$22,Debt!$3:$3,Valuation!U$3)</f>
        <v>3203.3399038190059</v>
      </c>
      <c r="V100" s="46">
        <f ca="1">SUMIFS(Debt!$22:$22,Debt!$3:$3,Valuation!V$3)</f>
        <v>3166.1065065913826</v>
      </c>
      <c r="W100" s="46">
        <f ca="1">SUMIFS(Debt!$22:$22,Debt!$3:$3,Valuation!W$3)</f>
        <v>3129.7371607148907</v>
      </c>
      <c r="X100" s="46">
        <f ca="1">SUMIFS(Debt!$22:$22,Debt!$3:$3,Valuation!X$3)</f>
        <v>3193.4997434651177</v>
      </c>
      <c r="Y100" s="46">
        <f ca="1">SUMIFS(Debt!$22:$22,Debt!$3:$3,Valuation!Y$3)</f>
        <v>3268.3756700727727</v>
      </c>
      <c r="Z100" s="46">
        <f ca="1">SUMIFS(Debt!$22:$22,Debt!$3:$3,Valuation!Z$3)</f>
        <v>3223.9333807528701</v>
      </c>
      <c r="AA100" s="46">
        <f ca="1">SUMIFS(Debt!$22:$22,Debt!$3:$3,Valuation!AA$3)</f>
        <v>3177.8636960839367</v>
      </c>
      <c r="AB100" s="46">
        <f ca="1">SUMIFS(Debt!$22:$22,Debt!$3:$3,Valuation!AB$3)</f>
        <v>3243.3398111690053</v>
      </c>
      <c r="AC100" s="8" t="s">
        <v>75</v>
      </c>
    </row>
    <row r="101" spans="1:29" x14ac:dyDescent="0.2">
      <c r="B101" s="18" t="s">
        <v>396</v>
      </c>
      <c r="C101" s="45" t="s">
        <v>187</v>
      </c>
      <c r="D101" s="13">
        <f ca="1">+D99+D100</f>
        <v>7618.8721136193408</v>
      </c>
      <c r="F101" s="13">
        <f t="shared" ref="F101:AB101" ca="1" si="31">+F103*F97</f>
        <v>7856.3420914036551</v>
      </c>
      <c r="G101" s="13">
        <f t="shared" ca="1" si="31"/>
        <v>8355.2340823746526</v>
      </c>
      <c r="H101" s="13">
        <f t="shared" ca="1" si="31"/>
        <v>8757.2865791848417</v>
      </c>
      <c r="I101" s="13">
        <f t="shared" ca="1" si="31"/>
        <v>9039.9575433898735</v>
      </c>
      <c r="J101" s="13">
        <f t="shared" ca="1" si="31"/>
        <v>9118.2066704821209</v>
      </c>
      <c r="K101" s="13">
        <f t="shared" ca="1" si="31"/>
        <v>9372.8814534535632</v>
      </c>
      <c r="L101" s="13">
        <f t="shared" ca="1" si="31"/>
        <v>9580.0591785969555</v>
      </c>
      <c r="M101" s="13">
        <f t="shared" ca="1" si="31"/>
        <v>9649.1428495896889</v>
      </c>
      <c r="N101" s="13">
        <f t="shared" ca="1" si="31"/>
        <v>9872.3933485684083</v>
      </c>
      <c r="O101" s="13">
        <f t="shared" ca="1" si="31"/>
        <v>10262.585900845377</v>
      </c>
      <c r="P101" s="13">
        <f t="shared" ca="1" si="31"/>
        <v>10629.62263695872</v>
      </c>
      <c r="Q101" s="13">
        <f t="shared" ca="1" si="31"/>
        <v>10839.526274666621</v>
      </c>
      <c r="R101" s="13">
        <f t="shared" ca="1" si="31"/>
        <v>11045.041417491822</v>
      </c>
      <c r="S101" s="13">
        <f t="shared" ca="1" si="31"/>
        <v>11421.282108683392</v>
      </c>
      <c r="T101" s="13">
        <f t="shared" ca="1" si="31"/>
        <v>11780.148075948018</v>
      </c>
      <c r="U101" s="13">
        <f t="shared" ca="1" si="31"/>
        <v>11956.705560697674</v>
      </c>
      <c r="V101" s="13">
        <f t="shared" ca="1" si="31"/>
        <v>12174.230786053582</v>
      </c>
      <c r="W101" s="13">
        <f t="shared" ca="1" si="31"/>
        <v>12574.08248939278</v>
      </c>
      <c r="X101" s="13">
        <f t="shared" ca="1" si="31"/>
        <v>12955.348224503045</v>
      </c>
      <c r="Y101" s="13">
        <f t="shared" ca="1" si="31"/>
        <v>13142.398156274447</v>
      </c>
      <c r="Z101" s="13">
        <f t="shared" ca="1" si="31"/>
        <v>13576.822284863792</v>
      </c>
      <c r="AA101" s="13">
        <f t="shared" ca="1" si="31"/>
        <v>14011.246413453138</v>
      </c>
      <c r="AB101" s="13">
        <f t="shared" ca="1" si="31"/>
        <v>14445.670542042488</v>
      </c>
      <c r="AC101" s="8" t="s">
        <v>75</v>
      </c>
    </row>
    <row r="102" spans="1:29" x14ac:dyDescent="0.2">
      <c r="B102" s="18"/>
      <c r="C102" s="45"/>
      <c r="D102" s="13"/>
      <c r="AC102" s="8" t="s">
        <v>75</v>
      </c>
    </row>
    <row r="103" spans="1:29" x14ac:dyDescent="0.2">
      <c r="B103" s="22" t="s">
        <v>424</v>
      </c>
      <c r="C103" s="45" t="s">
        <v>199</v>
      </c>
      <c r="D103" s="201">
        <f ca="1">+D101/D97</f>
        <v>9.7306496124551334</v>
      </c>
      <c r="F103" s="202">
        <f t="shared" ref="F103:AB103" ca="1" si="32">+$D103</f>
        <v>9.7306496124551334</v>
      </c>
      <c r="G103" s="202">
        <f t="shared" ca="1" si="32"/>
        <v>9.7306496124551334</v>
      </c>
      <c r="H103" s="202">
        <f t="shared" ca="1" si="32"/>
        <v>9.7306496124551334</v>
      </c>
      <c r="I103" s="202">
        <f t="shared" ca="1" si="32"/>
        <v>9.7306496124551334</v>
      </c>
      <c r="J103" s="202">
        <f t="shared" ca="1" si="32"/>
        <v>9.7306496124551334</v>
      </c>
      <c r="K103" s="202">
        <f t="shared" ca="1" si="32"/>
        <v>9.7306496124551334</v>
      </c>
      <c r="L103" s="202">
        <f t="shared" ca="1" si="32"/>
        <v>9.7306496124551334</v>
      </c>
      <c r="M103" s="202">
        <f t="shared" ca="1" si="32"/>
        <v>9.7306496124551334</v>
      </c>
      <c r="N103" s="202">
        <f t="shared" ca="1" si="32"/>
        <v>9.7306496124551334</v>
      </c>
      <c r="O103" s="202">
        <f t="shared" ca="1" si="32"/>
        <v>9.7306496124551334</v>
      </c>
      <c r="P103" s="202">
        <f t="shared" ca="1" si="32"/>
        <v>9.7306496124551334</v>
      </c>
      <c r="Q103" s="202">
        <f t="shared" ca="1" si="32"/>
        <v>9.7306496124551334</v>
      </c>
      <c r="R103" s="202">
        <f t="shared" ca="1" si="32"/>
        <v>9.7306496124551334</v>
      </c>
      <c r="S103" s="202">
        <f t="shared" ca="1" si="32"/>
        <v>9.7306496124551334</v>
      </c>
      <c r="T103" s="202">
        <f t="shared" ca="1" si="32"/>
        <v>9.7306496124551334</v>
      </c>
      <c r="U103" s="202">
        <f t="shared" ca="1" si="32"/>
        <v>9.7306496124551334</v>
      </c>
      <c r="V103" s="202">
        <f t="shared" ca="1" si="32"/>
        <v>9.7306496124551334</v>
      </c>
      <c r="W103" s="202">
        <f t="shared" ca="1" si="32"/>
        <v>9.7306496124551334</v>
      </c>
      <c r="X103" s="202">
        <f t="shared" ca="1" si="32"/>
        <v>9.7306496124551334</v>
      </c>
      <c r="Y103" s="202">
        <f t="shared" ca="1" si="32"/>
        <v>9.7306496124551334</v>
      </c>
      <c r="Z103" s="202">
        <f t="shared" ca="1" si="32"/>
        <v>9.7306496124551334</v>
      </c>
      <c r="AA103" s="202">
        <f t="shared" ca="1" si="32"/>
        <v>9.7306496124551334</v>
      </c>
      <c r="AB103" s="202">
        <f t="shared" ca="1" si="32"/>
        <v>9.7306496124551334</v>
      </c>
      <c r="AC103" s="8" t="s">
        <v>75</v>
      </c>
    </row>
    <row r="104" spans="1:29" x14ac:dyDescent="0.2">
      <c r="B104" s="22" t="s">
        <v>340</v>
      </c>
      <c r="C104" s="45" t="s">
        <v>338</v>
      </c>
      <c r="D104" s="200"/>
      <c r="F104" s="200">
        <f t="shared" ref="F104:AB104" ca="1" si="33">+F99/$D$38*1000</f>
        <v>6.2609940824133323</v>
      </c>
      <c r="G104" s="200">
        <f t="shared" ca="1" si="33"/>
        <v>6.9841763228830622</v>
      </c>
      <c r="H104" s="200">
        <f t="shared" ca="1" si="33"/>
        <v>7.5307426112346594</v>
      </c>
      <c r="I104" s="200">
        <f t="shared" ca="1" si="33"/>
        <v>7.8871754928881348</v>
      </c>
      <c r="J104" s="200">
        <f t="shared" ca="1" si="33"/>
        <v>8.07384150852908</v>
      </c>
      <c r="K104" s="200">
        <f t="shared" ca="1" si="33"/>
        <v>8.4160181688622977</v>
      </c>
      <c r="L104" s="200">
        <f t="shared" ca="1" si="33"/>
        <v>8.5983592797135735</v>
      </c>
      <c r="M104" s="200">
        <f t="shared" ca="1" si="33"/>
        <v>8.6602472605224285</v>
      </c>
      <c r="N104" s="200">
        <f t="shared" ca="1" si="33"/>
        <v>9.041946676235705</v>
      </c>
      <c r="O104" s="200">
        <f t="shared" ca="1" si="33"/>
        <v>9.6153769089963923</v>
      </c>
      <c r="P104" s="200">
        <f t="shared" ca="1" si="33"/>
        <v>10.050658924065383</v>
      </c>
      <c r="Q104" s="200">
        <f t="shared" ca="1" si="33"/>
        <v>10.271055914839689</v>
      </c>
      <c r="R104" s="200">
        <f t="shared" ca="1" si="33"/>
        <v>10.611889686270326</v>
      </c>
      <c r="S104" s="200">
        <f t="shared" ca="1" si="33"/>
        <v>11.152730718511727</v>
      </c>
      <c r="T104" s="200">
        <f t="shared" ca="1" si="33"/>
        <v>11.550931666601203</v>
      </c>
      <c r="U104" s="200">
        <f t="shared" ca="1" si="33"/>
        <v>11.692814524461348</v>
      </c>
      <c r="V104" s="200">
        <f t="shared" ca="1" si="33"/>
        <v>12.033123091376476</v>
      </c>
      <c r="W104" s="200">
        <f t="shared" ca="1" si="33"/>
        <v>12.615830591563759</v>
      </c>
      <c r="X104" s="200">
        <f t="shared" ca="1" si="33"/>
        <v>13.03995379365578</v>
      </c>
      <c r="Y104" s="200">
        <f t="shared" ca="1" si="33"/>
        <v>13.189796709884801</v>
      </c>
      <c r="Z104" s="200">
        <f t="shared" ca="1" si="33"/>
        <v>13.829470228173841</v>
      </c>
      <c r="AA104" s="200">
        <f t="shared" ca="1" si="33"/>
        <v>14.471317633938865</v>
      </c>
      <c r="AB104" s="200">
        <f t="shared" ca="1" si="33"/>
        <v>14.964161285190187</v>
      </c>
      <c r="AC104" s="8" t="s">
        <v>75</v>
      </c>
    </row>
    <row r="105" spans="1:29" x14ac:dyDescent="0.2">
      <c r="B105" s="1" t="s">
        <v>394</v>
      </c>
      <c r="F105" s="134">
        <f t="shared" ref="F105:AB105" ca="1" si="34">+F104/SharePrice-1</f>
        <v>4.3499013735555314E-2</v>
      </c>
      <c r="G105" s="134">
        <f t="shared" ca="1" si="34"/>
        <v>0.16402938714717696</v>
      </c>
      <c r="H105" s="134">
        <f t="shared" ca="1" si="34"/>
        <v>0.2551237685391099</v>
      </c>
      <c r="I105" s="134">
        <f t="shared" ca="1" si="34"/>
        <v>0.31452924881468913</v>
      </c>
      <c r="J105" s="134">
        <f t="shared" ca="1" si="34"/>
        <v>0.34564025142151333</v>
      </c>
      <c r="K105" s="134">
        <f t="shared" ca="1" si="34"/>
        <v>0.40266969481038295</v>
      </c>
      <c r="L105" s="134">
        <f t="shared" ca="1" si="34"/>
        <v>0.43305987995226225</v>
      </c>
      <c r="M105" s="134">
        <f t="shared" ca="1" si="34"/>
        <v>0.44337454342040483</v>
      </c>
      <c r="N105" s="134">
        <f t="shared" ca="1" si="34"/>
        <v>0.50699111270595076</v>
      </c>
      <c r="O105" s="134">
        <f t="shared" ca="1" si="34"/>
        <v>0.60256281816606538</v>
      </c>
      <c r="P105" s="134">
        <f t="shared" ca="1" si="34"/>
        <v>0.67510982067756387</v>
      </c>
      <c r="Q105" s="134">
        <f t="shared" ca="1" si="34"/>
        <v>0.71184265247328149</v>
      </c>
      <c r="R105" s="134">
        <f t="shared" ca="1" si="34"/>
        <v>0.76864828104505434</v>
      </c>
      <c r="S105" s="134">
        <f t="shared" ca="1" si="34"/>
        <v>0.85878845308528784</v>
      </c>
      <c r="T105" s="134">
        <f t="shared" ca="1" si="34"/>
        <v>0.92515527776686723</v>
      </c>
      <c r="U105" s="134">
        <f t="shared" ca="1" si="34"/>
        <v>0.94880242074355792</v>
      </c>
      <c r="V105" s="134">
        <f t="shared" ca="1" si="34"/>
        <v>1.0055205152294127</v>
      </c>
      <c r="W105" s="134">
        <f t="shared" ca="1" si="34"/>
        <v>1.1026384319272933</v>
      </c>
      <c r="X105" s="134">
        <f t="shared" ca="1" si="34"/>
        <v>1.1733256322759633</v>
      </c>
      <c r="Y105" s="134">
        <f t="shared" ca="1" si="34"/>
        <v>1.198299451647467</v>
      </c>
      <c r="Z105" s="134">
        <f t="shared" ca="1" si="34"/>
        <v>1.3049117046956402</v>
      </c>
      <c r="AA105" s="134">
        <f t="shared" ca="1" si="34"/>
        <v>1.411886272323144</v>
      </c>
      <c r="AB105" s="134">
        <f t="shared" ca="1" si="34"/>
        <v>1.494026880865031</v>
      </c>
      <c r="AC105" s="8" t="s">
        <v>75</v>
      </c>
    </row>
    <row r="106" spans="1:29" x14ac:dyDescent="0.2">
      <c r="AC106" s="8" t="s">
        <v>75</v>
      </c>
    </row>
    <row r="107" spans="1:29" x14ac:dyDescent="0.2">
      <c r="AC107" s="8" t="s">
        <v>75</v>
      </c>
    </row>
    <row r="108" spans="1:29" s="3" customFormat="1" x14ac:dyDescent="0.2">
      <c r="A108" s="17" t="s">
        <v>75</v>
      </c>
      <c r="B108" s="3" t="s">
        <v>613</v>
      </c>
      <c r="C108" s="332"/>
      <c r="AC108" s="87" t="s">
        <v>75</v>
      </c>
    </row>
    <row r="109" spans="1:29" x14ac:dyDescent="0.2">
      <c r="B109" s="1" t="s">
        <v>395</v>
      </c>
      <c r="C109" s="45" t="s">
        <v>187</v>
      </c>
      <c r="D109" s="11">
        <f ca="1">+D99</f>
        <v>4491.66399</v>
      </c>
      <c r="F109" s="11">
        <f t="shared" ref="F109:AB109" ca="1" si="35">+$D109</f>
        <v>4491.66399</v>
      </c>
      <c r="G109" s="11">
        <f t="shared" ca="1" si="35"/>
        <v>4491.66399</v>
      </c>
      <c r="H109" s="11">
        <f t="shared" ca="1" si="35"/>
        <v>4491.66399</v>
      </c>
      <c r="I109" s="11">
        <f t="shared" ca="1" si="35"/>
        <v>4491.66399</v>
      </c>
      <c r="J109" s="11">
        <f t="shared" ca="1" si="35"/>
        <v>4491.66399</v>
      </c>
      <c r="K109" s="11">
        <f t="shared" ca="1" si="35"/>
        <v>4491.66399</v>
      </c>
      <c r="L109" s="11">
        <f t="shared" ca="1" si="35"/>
        <v>4491.66399</v>
      </c>
      <c r="M109" s="11">
        <f t="shared" ca="1" si="35"/>
        <v>4491.66399</v>
      </c>
      <c r="N109" s="11">
        <f t="shared" ca="1" si="35"/>
        <v>4491.66399</v>
      </c>
      <c r="O109" s="11">
        <f t="shared" ca="1" si="35"/>
        <v>4491.66399</v>
      </c>
      <c r="P109" s="11">
        <f t="shared" ca="1" si="35"/>
        <v>4491.66399</v>
      </c>
      <c r="Q109" s="11">
        <f t="shared" ca="1" si="35"/>
        <v>4491.66399</v>
      </c>
      <c r="R109" s="11">
        <f t="shared" ca="1" si="35"/>
        <v>4491.66399</v>
      </c>
      <c r="S109" s="11">
        <f t="shared" ca="1" si="35"/>
        <v>4491.66399</v>
      </c>
      <c r="T109" s="11">
        <f t="shared" ca="1" si="35"/>
        <v>4491.66399</v>
      </c>
      <c r="U109" s="11">
        <f t="shared" ca="1" si="35"/>
        <v>4491.66399</v>
      </c>
      <c r="V109" s="11">
        <f t="shared" ca="1" si="35"/>
        <v>4491.66399</v>
      </c>
      <c r="W109" s="11">
        <f t="shared" ca="1" si="35"/>
        <v>4491.66399</v>
      </c>
      <c r="X109" s="11">
        <f t="shared" ca="1" si="35"/>
        <v>4491.66399</v>
      </c>
      <c r="Y109" s="11">
        <f t="shared" ca="1" si="35"/>
        <v>4491.66399</v>
      </c>
      <c r="Z109" s="11">
        <f t="shared" ca="1" si="35"/>
        <v>4491.66399</v>
      </c>
      <c r="AA109" s="11">
        <f t="shared" ca="1" si="35"/>
        <v>4491.66399</v>
      </c>
      <c r="AB109" s="11">
        <f t="shared" ca="1" si="35"/>
        <v>4491.66399</v>
      </c>
      <c r="AC109" s="8" t="s">
        <v>75</v>
      </c>
    </row>
    <row r="110" spans="1:29" x14ac:dyDescent="0.2">
      <c r="B110" s="1" t="s">
        <v>152</v>
      </c>
      <c r="C110" s="45" t="s">
        <v>187</v>
      </c>
      <c r="D110" s="11">
        <f ca="1">+D$100</f>
        <v>3127.2081236193408</v>
      </c>
      <c r="F110" s="11">
        <f t="shared" ref="F110:AB110" ca="1" si="36">+F100</f>
        <v>3169.295147807145</v>
      </c>
      <c r="G110" s="11">
        <f t="shared" ca="1" si="36"/>
        <v>3126.8052008239079</v>
      </c>
      <c r="H110" s="11">
        <f t="shared" ca="1" si="36"/>
        <v>3119.692345044627</v>
      </c>
      <c r="I110" s="11">
        <f t="shared" ca="1" si="36"/>
        <v>3135.5338526871842</v>
      </c>
      <c r="J110" s="11">
        <f t="shared" ca="1" si="36"/>
        <v>3074.0428096775631</v>
      </c>
      <c r="K110" s="11">
        <f t="shared" ca="1" si="36"/>
        <v>3072.5604954094761</v>
      </c>
      <c r="L110" s="11">
        <f t="shared" ca="1" si="36"/>
        <v>3143.2357203016568</v>
      </c>
      <c r="M110" s="11">
        <f t="shared" ca="1" si="36"/>
        <v>3165.9893888255656</v>
      </c>
      <c r="N110" s="11">
        <f t="shared" ca="1" si="36"/>
        <v>3103.4956343770568</v>
      </c>
      <c r="O110" s="11">
        <f t="shared" ca="1" si="36"/>
        <v>3064.4121987759422</v>
      </c>
      <c r="P110" s="11">
        <f t="shared" ca="1" si="36"/>
        <v>3105.5921761259497</v>
      </c>
      <c r="Q110" s="11">
        <f t="shared" ca="1" si="36"/>
        <v>3150.5042760062979</v>
      </c>
      <c r="R110" s="11">
        <f t="shared" ca="1" si="36"/>
        <v>3100.867622546351</v>
      </c>
      <c r="S110" s="11">
        <f t="shared" ca="1" si="36"/>
        <v>3072.2289489323989</v>
      </c>
      <c r="T110" s="11">
        <f t="shared" ca="1" si="36"/>
        <v>3132.997439644133</v>
      </c>
      <c r="U110" s="11">
        <f t="shared" ca="1" si="36"/>
        <v>3203.3399038190059</v>
      </c>
      <c r="V110" s="11">
        <f t="shared" ca="1" si="36"/>
        <v>3166.1065065913826</v>
      </c>
      <c r="W110" s="11">
        <f t="shared" ca="1" si="36"/>
        <v>3129.7371607148907</v>
      </c>
      <c r="X110" s="11">
        <f t="shared" ca="1" si="36"/>
        <v>3193.4997434651177</v>
      </c>
      <c r="Y110" s="11">
        <f t="shared" ca="1" si="36"/>
        <v>3268.3756700727727</v>
      </c>
      <c r="Z110" s="11">
        <f t="shared" ca="1" si="36"/>
        <v>3223.9333807528701</v>
      </c>
      <c r="AA110" s="11">
        <f t="shared" ca="1" si="36"/>
        <v>3177.8636960839367</v>
      </c>
      <c r="AB110" s="11">
        <f t="shared" ca="1" si="36"/>
        <v>3243.3398111690053</v>
      </c>
      <c r="AC110" s="8" t="s">
        <v>75</v>
      </c>
    </row>
    <row r="111" spans="1:29" x14ac:dyDescent="0.2">
      <c r="B111" s="18" t="s">
        <v>396</v>
      </c>
      <c r="C111" s="45" t="s">
        <v>187</v>
      </c>
      <c r="D111" s="13">
        <f ca="1">+D109+D110</f>
        <v>7618.8721136193408</v>
      </c>
      <c r="F111" s="13">
        <f t="shared" ref="F111:AB111" ca="1" si="37">+F109+F110</f>
        <v>7660.9591378071455</v>
      </c>
      <c r="G111" s="13">
        <f t="shared" ca="1" si="37"/>
        <v>7618.4691908239074</v>
      </c>
      <c r="H111" s="13">
        <f t="shared" ca="1" si="37"/>
        <v>7611.3563350446275</v>
      </c>
      <c r="I111" s="13">
        <f t="shared" ca="1" si="37"/>
        <v>7627.1978426871847</v>
      </c>
      <c r="J111" s="13">
        <f t="shared" ca="1" si="37"/>
        <v>7565.7067996775631</v>
      </c>
      <c r="K111" s="13">
        <f t="shared" ca="1" si="37"/>
        <v>7564.2244854094761</v>
      </c>
      <c r="L111" s="13">
        <f t="shared" ca="1" si="37"/>
        <v>7634.8997103016573</v>
      </c>
      <c r="M111" s="13">
        <f t="shared" ca="1" si="37"/>
        <v>7657.6533788255656</v>
      </c>
      <c r="N111" s="13">
        <f t="shared" ca="1" si="37"/>
        <v>7595.1596243770564</v>
      </c>
      <c r="O111" s="13">
        <f t="shared" ca="1" si="37"/>
        <v>7556.0761887759418</v>
      </c>
      <c r="P111" s="13">
        <f t="shared" ca="1" si="37"/>
        <v>7597.2561661259497</v>
      </c>
      <c r="Q111" s="13">
        <f t="shared" ca="1" si="37"/>
        <v>7642.1682660062979</v>
      </c>
      <c r="R111" s="13">
        <f t="shared" ca="1" si="37"/>
        <v>7592.5316125463505</v>
      </c>
      <c r="S111" s="13">
        <f t="shared" ca="1" si="37"/>
        <v>7563.8929389323985</v>
      </c>
      <c r="T111" s="13">
        <f t="shared" ca="1" si="37"/>
        <v>7624.661429644133</v>
      </c>
      <c r="U111" s="13">
        <f t="shared" ca="1" si="37"/>
        <v>7695.0038938190064</v>
      </c>
      <c r="V111" s="13">
        <f t="shared" ca="1" si="37"/>
        <v>7657.7704965913827</v>
      </c>
      <c r="W111" s="13">
        <f t="shared" ca="1" si="37"/>
        <v>7621.4011507148907</v>
      </c>
      <c r="X111" s="13">
        <f t="shared" ca="1" si="37"/>
        <v>7685.1637334651177</v>
      </c>
      <c r="Y111" s="13">
        <f t="shared" ca="1" si="37"/>
        <v>7760.0396600727727</v>
      </c>
      <c r="Z111" s="13">
        <f t="shared" ca="1" si="37"/>
        <v>7715.5973707528701</v>
      </c>
      <c r="AA111" s="13">
        <f t="shared" ca="1" si="37"/>
        <v>7669.5276860839367</v>
      </c>
      <c r="AB111" s="13">
        <f t="shared" ca="1" si="37"/>
        <v>7735.0038011690049</v>
      </c>
      <c r="AC111" s="8" t="s">
        <v>75</v>
      </c>
    </row>
    <row r="112" spans="1:29" x14ac:dyDescent="0.2">
      <c r="AC112" s="8" t="s">
        <v>75</v>
      </c>
    </row>
    <row r="113" spans="1:29" x14ac:dyDescent="0.2">
      <c r="B113" s="22" t="s">
        <v>424</v>
      </c>
      <c r="C113" s="45" t="s">
        <v>199</v>
      </c>
      <c r="D113" s="201">
        <f ca="1">+D111/D$97</f>
        <v>9.7306496124551334</v>
      </c>
      <c r="F113" s="202">
        <f t="shared" ref="F113:AB113" ca="1" si="38">+F111/F97</f>
        <v>9.4886536505208259</v>
      </c>
      <c r="G113" s="202">
        <f t="shared" ca="1" si="38"/>
        <v>8.8726005218183754</v>
      </c>
      <c r="H113" s="202">
        <f t="shared" ca="1" si="38"/>
        <v>8.4573504477860766</v>
      </c>
      <c r="I113" s="202">
        <f t="shared" ca="1" si="38"/>
        <v>8.2099489268432997</v>
      </c>
      <c r="J113" s="202">
        <f t="shared" ca="1" si="38"/>
        <v>8.0738729224634991</v>
      </c>
      <c r="K113" s="202">
        <f t="shared" ca="1" si="38"/>
        <v>7.8529551902475703</v>
      </c>
      <c r="L113" s="202">
        <f t="shared" ca="1" si="38"/>
        <v>7.7549138812377487</v>
      </c>
      <c r="M113" s="202">
        <f t="shared" ca="1" si="38"/>
        <v>7.7223379365922939</v>
      </c>
      <c r="N113" s="202">
        <f t="shared" ca="1" si="38"/>
        <v>7.4861114672053191</v>
      </c>
      <c r="O113" s="202">
        <f t="shared" ca="1" si="38"/>
        <v>7.1644252772527279</v>
      </c>
      <c r="P113" s="202">
        <f t="shared" ca="1" si="38"/>
        <v>6.9547377450256453</v>
      </c>
      <c r="Q113" s="202">
        <f t="shared" ca="1" si="38"/>
        <v>6.8603792999448405</v>
      </c>
      <c r="R113" s="202">
        <f t="shared" ca="1" si="38"/>
        <v>6.6889984383557612</v>
      </c>
      <c r="S113" s="202">
        <f t="shared" ca="1" si="38"/>
        <v>6.4442495329764</v>
      </c>
      <c r="T113" s="202">
        <f t="shared" ca="1" si="38"/>
        <v>6.2981304060982728</v>
      </c>
      <c r="U113" s="202">
        <f t="shared" ca="1" si="38"/>
        <v>6.2623760597866198</v>
      </c>
      <c r="V113" s="202">
        <f t="shared" ca="1" si="38"/>
        <v>6.1207219432943099</v>
      </c>
      <c r="W113" s="202">
        <f t="shared" ca="1" si="38"/>
        <v>5.8979400060505176</v>
      </c>
      <c r="X113" s="202">
        <f t="shared" ca="1" si="38"/>
        <v>5.7722597809651042</v>
      </c>
      <c r="Y113" s="202">
        <f t="shared" ca="1" si="38"/>
        <v>5.7455440029317231</v>
      </c>
      <c r="Z113" s="202">
        <f t="shared" ca="1" si="38"/>
        <v>5.5298488107395496</v>
      </c>
      <c r="AA113" s="202">
        <f t="shared" ca="1" si="38"/>
        <v>5.3263988373403945</v>
      </c>
      <c r="AB113" s="202">
        <f t="shared" ca="1" si="38"/>
        <v>5.2103231567637662</v>
      </c>
      <c r="AC113" s="8" t="s">
        <v>75</v>
      </c>
    </row>
    <row r="114" spans="1:29" x14ac:dyDescent="0.2">
      <c r="B114" s="19" t="s">
        <v>447</v>
      </c>
      <c r="C114" s="45" t="s">
        <v>199</v>
      </c>
      <c r="D114" s="201"/>
      <c r="F114" s="202">
        <f ca="1">+F113*F11</f>
        <v>0</v>
      </c>
      <c r="G114" s="202">
        <f ca="1">+G113*G11</f>
        <v>0</v>
      </c>
      <c r="H114" s="202">
        <f ca="1">+H113*H11</f>
        <v>8.4573504477860766</v>
      </c>
      <c r="I114" s="202">
        <f ca="1">+I113*I11</f>
        <v>0</v>
      </c>
      <c r="J114" s="202">
        <f ca="1">+J113*J11</f>
        <v>0</v>
      </c>
      <c r="K114" s="202">
        <f ca="1">+K113*K11</f>
        <v>0</v>
      </c>
      <c r="L114" s="202">
        <f ca="1">+L113*L11</f>
        <v>7.7549138812377487</v>
      </c>
      <c r="M114" s="202">
        <f ca="1">+M113*M11</f>
        <v>0</v>
      </c>
      <c r="N114" s="202">
        <f ca="1">+N113*N11</f>
        <v>0</v>
      </c>
      <c r="O114" s="202">
        <f ca="1">+O113*O11</f>
        <v>0</v>
      </c>
      <c r="P114" s="202">
        <f ca="1">+P113*P11</f>
        <v>6.9547377450256453</v>
      </c>
      <c r="Q114" s="202">
        <f ca="1">+Q113*Q11</f>
        <v>0</v>
      </c>
      <c r="R114" s="202">
        <f ca="1">+R113*R11</f>
        <v>0</v>
      </c>
      <c r="S114" s="202">
        <f ca="1">+S113*S11</f>
        <v>0</v>
      </c>
      <c r="T114" s="202">
        <f ca="1">+T113*T11</f>
        <v>6.2981304060982728</v>
      </c>
      <c r="U114" s="202">
        <f ca="1">+U113*U11</f>
        <v>0</v>
      </c>
      <c r="V114" s="202">
        <f ca="1">+V113*V11</f>
        <v>0</v>
      </c>
      <c r="W114" s="202">
        <f ca="1">+W113*W11</f>
        <v>0</v>
      </c>
      <c r="X114" s="202">
        <f ca="1">+X113*X11</f>
        <v>5.7722597809651042</v>
      </c>
      <c r="Y114" s="202">
        <f ca="1">+Y113*Y11</f>
        <v>0</v>
      </c>
      <c r="Z114" s="202">
        <f ca="1">+Z113*Z11</f>
        <v>0</v>
      </c>
      <c r="AA114" s="202">
        <f ca="1">+AA113*AA11</f>
        <v>0</v>
      </c>
      <c r="AB114" s="202">
        <f ca="1">+AB113*AB11</f>
        <v>5.2103231567637662</v>
      </c>
      <c r="AC114" s="8" t="s">
        <v>75</v>
      </c>
    </row>
    <row r="115" spans="1:29" x14ac:dyDescent="0.2">
      <c r="AC115" s="8" t="s">
        <v>75</v>
      </c>
    </row>
    <row r="116" spans="1:29" s="3" customFormat="1" x14ac:dyDescent="0.2">
      <c r="A116" s="17" t="s">
        <v>75</v>
      </c>
      <c r="B116" s="3" t="s">
        <v>631</v>
      </c>
      <c r="C116" s="332"/>
      <c r="AC116" s="87" t="s">
        <v>75</v>
      </c>
    </row>
    <row r="117" spans="1:29" x14ac:dyDescent="0.2">
      <c r="B117" s="1" t="s">
        <v>334</v>
      </c>
      <c r="C117" s="45" t="s">
        <v>187</v>
      </c>
      <c r="D117" s="11">
        <f ca="1">+D57</f>
        <v>5933.587092759758</v>
      </c>
      <c r="F117" s="11">
        <f t="shared" ref="F117:AB117" ca="1" si="39">+$D117</f>
        <v>5933.587092759758</v>
      </c>
      <c r="G117" s="11">
        <f t="shared" ca="1" si="39"/>
        <v>5933.587092759758</v>
      </c>
      <c r="H117" s="11">
        <f t="shared" ca="1" si="39"/>
        <v>5933.587092759758</v>
      </c>
      <c r="I117" s="11">
        <f t="shared" ca="1" si="39"/>
        <v>5933.587092759758</v>
      </c>
      <c r="J117" s="11">
        <f t="shared" ca="1" si="39"/>
        <v>5933.587092759758</v>
      </c>
      <c r="K117" s="11">
        <f t="shared" ca="1" si="39"/>
        <v>5933.587092759758</v>
      </c>
      <c r="L117" s="11">
        <f t="shared" ca="1" si="39"/>
        <v>5933.587092759758</v>
      </c>
      <c r="M117" s="11">
        <f t="shared" ca="1" si="39"/>
        <v>5933.587092759758</v>
      </c>
      <c r="N117" s="11">
        <f t="shared" ca="1" si="39"/>
        <v>5933.587092759758</v>
      </c>
      <c r="O117" s="11">
        <f t="shared" ca="1" si="39"/>
        <v>5933.587092759758</v>
      </c>
      <c r="P117" s="11">
        <f t="shared" ca="1" si="39"/>
        <v>5933.587092759758</v>
      </c>
      <c r="Q117" s="11">
        <f t="shared" ca="1" si="39"/>
        <v>5933.587092759758</v>
      </c>
      <c r="R117" s="11">
        <f t="shared" ca="1" si="39"/>
        <v>5933.587092759758</v>
      </c>
      <c r="S117" s="11">
        <f t="shared" ca="1" si="39"/>
        <v>5933.587092759758</v>
      </c>
      <c r="T117" s="11">
        <f t="shared" ca="1" si="39"/>
        <v>5933.587092759758</v>
      </c>
      <c r="U117" s="11">
        <f t="shared" ca="1" si="39"/>
        <v>5933.587092759758</v>
      </c>
      <c r="V117" s="11">
        <f t="shared" ca="1" si="39"/>
        <v>5933.587092759758</v>
      </c>
      <c r="W117" s="11">
        <f t="shared" ca="1" si="39"/>
        <v>5933.587092759758</v>
      </c>
      <c r="X117" s="11">
        <f t="shared" ca="1" si="39"/>
        <v>5933.587092759758</v>
      </c>
      <c r="Y117" s="11">
        <f t="shared" ca="1" si="39"/>
        <v>5933.587092759758</v>
      </c>
      <c r="Z117" s="11">
        <f t="shared" ca="1" si="39"/>
        <v>5933.587092759758</v>
      </c>
      <c r="AA117" s="11">
        <f t="shared" ca="1" si="39"/>
        <v>5933.587092759758</v>
      </c>
      <c r="AB117" s="11">
        <f t="shared" ca="1" si="39"/>
        <v>5933.587092759758</v>
      </c>
      <c r="AC117" s="8" t="s">
        <v>75</v>
      </c>
    </row>
    <row r="118" spans="1:29" x14ac:dyDescent="0.2">
      <c r="B118" s="1" t="s">
        <v>152</v>
      </c>
      <c r="C118" s="45" t="s">
        <v>187</v>
      </c>
      <c r="D118" s="11">
        <f ca="1">+D$100</f>
        <v>3127.2081236193408</v>
      </c>
      <c r="F118" s="11">
        <f t="shared" ref="F118:AB118" ca="1" si="40">+F$100</f>
        <v>3169.295147807145</v>
      </c>
      <c r="G118" s="11">
        <f t="shared" ca="1" si="40"/>
        <v>3126.8052008239079</v>
      </c>
      <c r="H118" s="11">
        <f t="shared" ca="1" si="40"/>
        <v>3119.692345044627</v>
      </c>
      <c r="I118" s="11">
        <f t="shared" ca="1" si="40"/>
        <v>3135.5338526871842</v>
      </c>
      <c r="J118" s="11">
        <f t="shared" ca="1" si="40"/>
        <v>3074.0428096775631</v>
      </c>
      <c r="K118" s="11">
        <f t="shared" ca="1" si="40"/>
        <v>3072.5604954094761</v>
      </c>
      <c r="L118" s="11">
        <f t="shared" ca="1" si="40"/>
        <v>3143.2357203016568</v>
      </c>
      <c r="M118" s="11">
        <f t="shared" ca="1" si="40"/>
        <v>3165.9893888255656</v>
      </c>
      <c r="N118" s="11">
        <f t="shared" ca="1" si="40"/>
        <v>3103.4956343770568</v>
      </c>
      <c r="O118" s="11">
        <f t="shared" ca="1" si="40"/>
        <v>3064.4121987759422</v>
      </c>
      <c r="P118" s="11">
        <f t="shared" ca="1" si="40"/>
        <v>3105.5921761259497</v>
      </c>
      <c r="Q118" s="11">
        <f t="shared" ca="1" si="40"/>
        <v>3150.5042760062979</v>
      </c>
      <c r="R118" s="11">
        <f t="shared" ca="1" si="40"/>
        <v>3100.867622546351</v>
      </c>
      <c r="S118" s="11">
        <f t="shared" ca="1" si="40"/>
        <v>3072.2289489323989</v>
      </c>
      <c r="T118" s="11">
        <f t="shared" ca="1" si="40"/>
        <v>3132.997439644133</v>
      </c>
      <c r="U118" s="11">
        <f t="shared" ca="1" si="40"/>
        <v>3203.3399038190059</v>
      </c>
      <c r="V118" s="11">
        <f t="shared" ca="1" si="40"/>
        <v>3166.1065065913826</v>
      </c>
      <c r="W118" s="11">
        <f t="shared" ca="1" si="40"/>
        <v>3129.7371607148907</v>
      </c>
      <c r="X118" s="11">
        <f t="shared" ca="1" si="40"/>
        <v>3193.4997434651177</v>
      </c>
      <c r="Y118" s="11">
        <f t="shared" ca="1" si="40"/>
        <v>3268.3756700727727</v>
      </c>
      <c r="Z118" s="11">
        <f t="shared" ca="1" si="40"/>
        <v>3223.9333807528701</v>
      </c>
      <c r="AA118" s="11">
        <f t="shared" ca="1" si="40"/>
        <v>3177.8636960839367</v>
      </c>
      <c r="AB118" s="11">
        <f t="shared" ca="1" si="40"/>
        <v>3243.3398111690053</v>
      </c>
      <c r="AC118" s="8" t="s">
        <v>75</v>
      </c>
    </row>
    <row r="119" spans="1:29" x14ac:dyDescent="0.2">
      <c r="B119" s="18" t="s">
        <v>396</v>
      </c>
      <c r="C119" s="45" t="s">
        <v>187</v>
      </c>
      <c r="D119" s="13">
        <f ca="1">+D117+D118</f>
        <v>9060.7952163790978</v>
      </c>
      <c r="F119" s="13">
        <f t="shared" ref="F119:AB119" ca="1" si="41">+F117+F118</f>
        <v>9102.8822405669034</v>
      </c>
      <c r="G119" s="13">
        <f t="shared" ca="1" si="41"/>
        <v>9060.3922935836654</v>
      </c>
      <c r="H119" s="13">
        <f t="shared" ca="1" si="41"/>
        <v>9053.2794378043855</v>
      </c>
      <c r="I119" s="13">
        <f t="shared" ca="1" si="41"/>
        <v>9069.1209454469426</v>
      </c>
      <c r="J119" s="13">
        <f t="shared" ca="1" si="41"/>
        <v>9007.629902437322</v>
      </c>
      <c r="K119" s="13">
        <f t="shared" ca="1" si="41"/>
        <v>9006.147588169235</v>
      </c>
      <c r="L119" s="13">
        <f t="shared" ca="1" si="41"/>
        <v>9076.8228130614152</v>
      </c>
      <c r="M119" s="13">
        <f t="shared" ca="1" si="41"/>
        <v>9099.5764815853236</v>
      </c>
      <c r="N119" s="13">
        <f t="shared" ca="1" si="41"/>
        <v>9037.0827271368144</v>
      </c>
      <c r="O119" s="13">
        <f t="shared" ca="1" si="41"/>
        <v>8997.9992915356997</v>
      </c>
      <c r="P119" s="13">
        <f t="shared" ca="1" si="41"/>
        <v>9039.1792688857076</v>
      </c>
      <c r="Q119" s="13">
        <f t="shared" ca="1" si="41"/>
        <v>9084.0913687660559</v>
      </c>
      <c r="R119" s="13">
        <f t="shared" ca="1" si="41"/>
        <v>9034.4547153061085</v>
      </c>
      <c r="S119" s="13">
        <f t="shared" ca="1" si="41"/>
        <v>9005.8160416921564</v>
      </c>
      <c r="T119" s="13">
        <f t="shared" ca="1" si="41"/>
        <v>9066.584532403891</v>
      </c>
      <c r="U119" s="13">
        <f t="shared" ca="1" si="41"/>
        <v>9136.9269965787644</v>
      </c>
      <c r="V119" s="13">
        <f t="shared" ca="1" si="41"/>
        <v>9099.6935993511397</v>
      </c>
      <c r="W119" s="13">
        <f t="shared" ca="1" si="41"/>
        <v>9063.3242534746496</v>
      </c>
      <c r="X119" s="13">
        <f t="shared" ca="1" si="41"/>
        <v>9127.0868362248766</v>
      </c>
      <c r="Y119" s="13">
        <f t="shared" ca="1" si="41"/>
        <v>9201.9627628325306</v>
      </c>
      <c r="Z119" s="13">
        <f t="shared" ca="1" si="41"/>
        <v>9157.5204735126281</v>
      </c>
      <c r="AA119" s="13">
        <f t="shared" ca="1" si="41"/>
        <v>9111.4507888436947</v>
      </c>
      <c r="AB119" s="13">
        <f t="shared" ca="1" si="41"/>
        <v>9176.9269039287628</v>
      </c>
      <c r="AC119" s="8" t="s">
        <v>75</v>
      </c>
    </row>
    <row r="120" spans="1:29" x14ac:dyDescent="0.2">
      <c r="AC120" s="8" t="s">
        <v>75</v>
      </c>
    </row>
    <row r="121" spans="1:29" x14ac:dyDescent="0.2">
      <c r="B121" s="22" t="s">
        <v>424</v>
      </c>
      <c r="C121" s="45" t="s">
        <v>199</v>
      </c>
      <c r="D121" s="201">
        <f ca="1">+D119/D$97</f>
        <v>11.572240896810476</v>
      </c>
      <c r="F121" s="201">
        <f t="shared" ref="F121:AB121" ca="1" si="42">+F119/F$97</f>
        <v>11.2745800164834</v>
      </c>
      <c r="G121" s="201">
        <f t="shared" ca="1" si="42"/>
        <v>10.551889018433616</v>
      </c>
      <c r="H121" s="201">
        <f t="shared" ca="1" si="42"/>
        <v>10.059541760607701</v>
      </c>
      <c r="I121" s="201">
        <f t="shared" ca="1" si="42"/>
        <v>9.7620412252544657</v>
      </c>
      <c r="J121" s="201">
        <f t="shared" ca="1" si="42"/>
        <v>9.6126457303315913</v>
      </c>
      <c r="K121" s="201">
        <f t="shared" ca="1" si="42"/>
        <v>9.3499173091794709</v>
      </c>
      <c r="L121" s="201">
        <f t="shared" ca="1" si="42"/>
        <v>9.2195027965553091</v>
      </c>
      <c r="M121" s="201">
        <f t="shared" ca="1" si="42"/>
        <v>9.1764410315274034</v>
      </c>
      <c r="N121" s="201">
        <f t="shared" ca="1" si="42"/>
        <v>8.9073320350723755</v>
      </c>
      <c r="O121" s="201">
        <f t="shared" ca="1" si="42"/>
        <v>8.5316097877281578</v>
      </c>
      <c r="P121" s="201">
        <f t="shared" ca="1" si="42"/>
        <v>8.2747139060113337</v>
      </c>
      <c r="Q121" s="201">
        <f t="shared" ca="1" si="42"/>
        <v>8.1547945839274316</v>
      </c>
      <c r="R121" s="201">
        <f t="shared" ca="1" si="42"/>
        <v>7.9593285304493007</v>
      </c>
      <c r="S121" s="201">
        <f t="shared" ca="1" si="42"/>
        <v>7.6727323204203719</v>
      </c>
      <c r="T121" s="201">
        <f t="shared" ca="1" si="42"/>
        <v>7.4891891594009303</v>
      </c>
      <c r="U121" s="201">
        <f t="shared" ca="1" si="42"/>
        <v>7.4358471643339694</v>
      </c>
      <c r="V121" s="201">
        <f t="shared" ca="1" si="42"/>
        <v>7.2732258449890788</v>
      </c>
      <c r="W121" s="201">
        <f t="shared" ca="1" si="42"/>
        <v>7.013794661282458</v>
      </c>
      <c r="X121" s="201">
        <f t="shared" ca="1" si="42"/>
        <v>6.8552757090527932</v>
      </c>
      <c r="Y121" s="201">
        <f t="shared" ca="1" si="42"/>
        <v>6.813145845017198</v>
      </c>
      <c r="Z121" s="201">
        <f t="shared" ca="1" si="42"/>
        <v>6.5632900819493614</v>
      </c>
      <c r="AA121" s="201">
        <f t="shared" ca="1" si="42"/>
        <v>6.3277978611693797</v>
      </c>
      <c r="AB121" s="201">
        <f t="shared" ca="1" si="42"/>
        <v>6.1816071439088525</v>
      </c>
      <c r="AC121" s="8" t="s">
        <v>75</v>
      </c>
    </row>
  </sheetData>
  <conditionalFormatting sqref="C1">
    <cfRule type="cellIs" dxfId="53" priority="2" operator="equal">
      <formula>"OK"</formula>
    </cfRule>
  </conditionalFormatting>
  <conditionalFormatting sqref="C1">
    <cfRule type="cellIs" dxfId="52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17DC-0C9F-4201-8D79-9E3AF0F5EF62}">
  <sheetPr>
    <tabColor theme="9" tint="-0.499984740745262"/>
  </sheetPr>
  <dimension ref="A1:BB206"/>
  <sheetViews>
    <sheetView zoomScale="85" zoomScaleNormal="85" workbookViewId="0">
      <pane xSplit="4" ySplit="3" topLeftCell="E4" activePane="bottomRight" state="frozen"/>
      <selection activeCell="AD60" sqref="AD60"/>
      <selection pane="topRight" activeCell="AD60" sqref="AD60"/>
      <selection pane="bottomLeft" activeCell="AD60" sqref="AD60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 customWidth="1"/>
    <col min="5" max="6" width="9.140625" style="1" hidden="1" customWidth="1" outlineLevel="1"/>
    <col min="7" max="7" width="9.140625" style="1" collapsed="1"/>
    <col min="8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4" s="4" customFormat="1" ht="16.5" x14ac:dyDescent="0.3">
      <c r="A1" s="213" t="str">
        <f ca="1">Ctrl!$G$7</f>
        <v>Base</v>
      </c>
      <c r="C1" s="8" t="str">
        <f ca="1">+IFERROR(IF(Financials!$C$164=0,"OK","CHECK"),"CHECK")</f>
        <v>OK</v>
      </c>
      <c r="D1" s="212">
        <f ca="1">+Ctrl!$G$9</f>
        <v>7.9261321941756702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</row>
    <row r="2" spans="1:54" s="5" customFormat="1" ht="16.5" x14ac:dyDescent="0.3">
      <c r="A2" s="6" t="s">
        <v>313</v>
      </c>
      <c r="D2" s="211">
        <f ca="1">+Ctrl!G10</f>
        <v>0.32102203236261162</v>
      </c>
      <c r="AC2" s="4"/>
      <c r="AD2" s="4"/>
      <c r="AE2" s="4"/>
      <c r="AF2" s="4"/>
      <c r="AG2" s="4"/>
      <c r="AH2" s="4"/>
      <c r="AI2" s="4"/>
      <c r="AJ2" s="4"/>
      <c r="AK2" s="4"/>
    </row>
    <row r="3" spans="1:54" x14ac:dyDescent="0.2">
      <c r="A3" s="1" t="s">
        <v>1</v>
      </c>
      <c r="E3" s="9">
        <v>2017</v>
      </c>
      <c r="F3" s="8">
        <f t="shared" ref="F3:N3" si="0">+E3+1</f>
        <v>2018</v>
      </c>
      <c r="G3" s="8">
        <f t="shared" si="0"/>
        <v>2019</v>
      </c>
      <c r="H3" s="8">
        <f t="shared" si="0"/>
        <v>2020</v>
      </c>
      <c r="I3" s="8">
        <f t="shared" si="0"/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O3" s="8"/>
      <c r="P3" s="45" t="s">
        <v>217</v>
      </c>
      <c r="R3" s="8" t="str">
        <f t="shared" ref="R3:AC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ref="AD3:AV3" si="2">+MONTH(AD5)/3&amp;"Q"&amp;RIGHT(YEAR(AD5),2)</f>
        <v>1Q21</v>
      </c>
      <c r="AE3" s="8" t="str">
        <f t="shared" si="2"/>
        <v>2Q21</v>
      </c>
      <c r="AF3" s="8" t="str">
        <f t="shared" si="2"/>
        <v>3Q21</v>
      </c>
      <c r="AG3" s="8" t="str">
        <f t="shared" si="2"/>
        <v>4Q21</v>
      </c>
      <c r="AH3" s="8" t="str">
        <f t="shared" si="2"/>
        <v>1Q22</v>
      </c>
      <c r="AI3" s="8" t="str">
        <f t="shared" si="2"/>
        <v>2Q22</v>
      </c>
      <c r="AJ3" s="8" t="str">
        <f t="shared" si="2"/>
        <v>3Q22</v>
      </c>
      <c r="AK3" s="8" t="str">
        <f t="shared" si="2"/>
        <v>4Q22</v>
      </c>
      <c r="AL3" s="8" t="str">
        <f t="shared" si="2"/>
        <v>1Q23</v>
      </c>
      <c r="AM3" s="8" t="str">
        <f t="shared" si="2"/>
        <v>2Q23</v>
      </c>
      <c r="AN3" s="8" t="str">
        <f t="shared" si="2"/>
        <v>3Q23</v>
      </c>
      <c r="AO3" s="8" t="str">
        <f t="shared" si="2"/>
        <v>4Q23</v>
      </c>
      <c r="AP3" s="8" t="str">
        <f t="shared" si="2"/>
        <v>1Q24</v>
      </c>
      <c r="AQ3" s="8" t="str">
        <f t="shared" si="2"/>
        <v>2Q24</v>
      </c>
      <c r="AR3" s="8" t="str">
        <f t="shared" si="2"/>
        <v>3Q24</v>
      </c>
      <c r="AS3" s="8" t="str">
        <f t="shared" si="2"/>
        <v>4Q24</v>
      </c>
      <c r="AT3" s="8" t="str">
        <f t="shared" si="2"/>
        <v>1Q25</v>
      </c>
      <c r="AU3" s="8" t="str">
        <f t="shared" si="2"/>
        <v>2Q25</v>
      </c>
      <c r="AV3" s="8" t="str">
        <f t="shared" si="2"/>
        <v>3Q25</v>
      </c>
      <c r="AW3" s="8" t="str">
        <f>+MONTH(AW5)/3&amp;"Q"&amp;RIGHT(YEAR(AW5),2)</f>
        <v>4Q25</v>
      </c>
      <c r="AX3" s="8" t="str">
        <f>+MONTH(AX5)/3&amp;"Q"&amp;RIGHT(YEAR(AX5),2)</f>
        <v>1Q26</v>
      </c>
      <c r="AY3" s="8" t="str">
        <f>+MONTH(AY5)/3&amp;"Q"&amp;RIGHT(YEAR(AY5),2)</f>
        <v>2Q26</v>
      </c>
      <c r="AZ3" s="8" t="str">
        <f>+MONTH(AZ5)/3&amp;"Q"&amp;RIGHT(YEAR(AZ5),2)</f>
        <v>3Q26</v>
      </c>
      <c r="BA3" s="8" t="str">
        <f>+MONTH(BA5)/3&amp;"Q"&amp;RIGHT(YEAR(BA5),2)</f>
        <v>4Q26</v>
      </c>
      <c r="BB3" s="8" t="s">
        <v>75</v>
      </c>
    </row>
    <row r="4" spans="1:54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3">+H5+1</f>
        <v>44197</v>
      </c>
      <c r="J4" s="7">
        <f t="shared" si="3"/>
        <v>44562</v>
      </c>
      <c r="K4" s="7">
        <f t="shared" si="3"/>
        <v>44927</v>
      </c>
      <c r="L4" s="7">
        <f t="shared" si="3"/>
        <v>45292</v>
      </c>
      <c r="M4" s="7">
        <f t="shared" si="3"/>
        <v>45658</v>
      </c>
      <c r="N4" s="7">
        <f t="shared" si="3"/>
        <v>46023</v>
      </c>
      <c r="O4" s="7"/>
      <c r="P4" s="7"/>
      <c r="R4" s="10">
        <v>43101</v>
      </c>
      <c r="S4" s="7">
        <f t="shared" ref="S4:Y4" si="4">+R5+1</f>
        <v>43191</v>
      </c>
      <c r="T4" s="7">
        <f t="shared" si="4"/>
        <v>43282</v>
      </c>
      <c r="U4" s="7">
        <f t="shared" si="4"/>
        <v>43374</v>
      </c>
      <c r="V4" s="7">
        <f t="shared" si="4"/>
        <v>43466</v>
      </c>
      <c r="W4" s="7">
        <f t="shared" si="4"/>
        <v>43556</v>
      </c>
      <c r="X4" s="7">
        <f t="shared" si="4"/>
        <v>43647</v>
      </c>
      <c r="Y4" s="7">
        <f t="shared" si="4"/>
        <v>43739</v>
      </c>
      <c r="Z4" s="7">
        <f t="shared" ref="Z4:BA4" si="5">+Y5+1</f>
        <v>43831</v>
      </c>
      <c r="AA4" s="7">
        <f t="shared" si="5"/>
        <v>43922</v>
      </c>
      <c r="AB4" s="7">
        <f t="shared" si="5"/>
        <v>44013</v>
      </c>
      <c r="AC4" s="7">
        <f t="shared" si="5"/>
        <v>44105</v>
      </c>
      <c r="AD4" s="7">
        <f t="shared" si="5"/>
        <v>44197</v>
      </c>
      <c r="AE4" s="7">
        <f t="shared" si="5"/>
        <v>44287</v>
      </c>
      <c r="AF4" s="7">
        <f t="shared" si="5"/>
        <v>44378</v>
      </c>
      <c r="AG4" s="7">
        <f t="shared" si="5"/>
        <v>44470</v>
      </c>
      <c r="AH4" s="7">
        <f t="shared" si="5"/>
        <v>44562</v>
      </c>
      <c r="AI4" s="7">
        <f t="shared" si="5"/>
        <v>44652</v>
      </c>
      <c r="AJ4" s="7">
        <f t="shared" si="5"/>
        <v>44743</v>
      </c>
      <c r="AK4" s="7">
        <f t="shared" si="5"/>
        <v>44835</v>
      </c>
      <c r="AL4" s="7">
        <f t="shared" si="5"/>
        <v>44927</v>
      </c>
      <c r="AM4" s="7">
        <f t="shared" si="5"/>
        <v>45017</v>
      </c>
      <c r="AN4" s="7">
        <f t="shared" si="5"/>
        <v>45108</v>
      </c>
      <c r="AO4" s="7">
        <f t="shared" si="5"/>
        <v>45200</v>
      </c>
      <c r="AP4" s="7">
        <f t="shared" si="5"/>
        <v>45292</v>
      </c>
      <c r="AQ4" s="7">
        <f t="shared" si="5"/>
        <v>45383</v>
      </c>
      <c r="AR4" s="7">
        <f t="shared" si="5"/>
        <v>45474</v>
      </c>
      <c r="AS4" s="7">
        <f t="shared" si="5"/>
        <v>45566</v>
      </c>
      <c r="AT4" s="7">
        <f t="shared" si="5"/>
        <v>45658</v>
      </c>
      <c r="AU4" s="7">
        <f t="shared" si="5"/>
        <v>45748</v>
      </c>
      <c r="AV4" s="7">
        <f t="shared" si="5"/>
        <v>45839</v>
      </c>
      <c r="AW4" s="7">
        <f t="shared" si="5"/>
        <v>45931</v>
      </c>
      <c r="AX4" s="7">
        <f t="shared" si="5"/>
        <v>46023</v>
      </c>
      <c r="AY4" s="7">
        <f t="shared" si="5"/>
        <v>46113</v>
      </c>
      <c r="AZ4" s="7">
        <f t="shared" si="5"/>
        <v>46204</v>
      </c>
      <c r="BA4" s="7">
        <f t="shared" si="5"/>
        <v>46296</v>
      </c>
      <c r="BB4" s="8" t="s">
        <v>75</v>
      </c>
    </row>
    <row r="5" spans="1:54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6">+EOMONTH(I4,11)</f>
        <v>44561</v>
      </c>
      <c r="J5" s="7">
        <f t="shared" si="6"/>
        <v>44926</v>
      </c>
      <c r="K5" s="7">
        <f t="shared" si="6"/>
        <v>45291</v>
      </c>
      <c r="L5" s="7">
        <f t="shared" si="6"/>
        <v>45657</v>
      </c>
      <c r="M5" s="7">
        <f t="shared" si="6"/>
        <v>46022</v>
      </c>
      <c r="N5" s="7">
        <f t="shared" si="6"/>
        <v>46387</v>
      </c>
      <c r="O5" s="7"/>
      <c r="P5" s="7"/>
      <c r="R5" s="7">
        <f t="shared" ref="R5:Y5" si="7">+EOMONTH(R4,2)</f>
        <v>43190</v>
      </c>
      <c r="S5" s="7">
        <f t="shared" si="7"/>
        <v>43281</v>
      </c>
      <c r="T5" s="7">
        <f t="shared" si="7"/>
        <v>43373</v>
      </c>
      <c r="U5" s="7">
        <f t="shared" si="7"/>
        <v>43465</v>
      </c>
      <c r="V5" s="7">
        <f t="shared" si="7"/>
        <v>43555</v>
      </c>
      <c r="W5" s="7">
        <f t="shared" si="7"/>
        <v>43646</v>
      </c>
      <c r="X5" s="7">
        <f t="shared" si="7"/>
        <v>43738</v>
      </c>
      <c r="Y5" s="7">
        <f t="shared" si="7"/>
        <v>43830</v>
      </c>
      <c r="Z5" s="7">
        <f>+EOMONTH(Z4,2)</f>
        <v>43921</v>
      </c>
      <c r="AA5" s="7">
        <f>+EOMONTH(AA4,2)</f>
        <v>44012</v>
      </c>
      <c r="AB5" s="7">
        <f>+EOMONTH(AB4,2)</f>
        <v>44104</v>
      </c>
      <c r="AC5" s="7">
        <f>+EOMONTH(AC4,2)</f>
        <v>44196</v>
      </c>
      <c r="AD5" s="7">
        <f t="shared" ref="AD5:AV5" si="8">+EOMONTH(AD4,2)</f>
        <v>44286</v>
      </c>
      <c r="AE5" s="7">
        <f t="shared" si="8"/>
        <v>44377</v>
      </c>
      <c r="AF5" s="7">
        <f t="shared" si="8"/>
        <v>44469</v>
      </c>
      <c r="AG5" s="7">
        <f t="shared" si="8"/>
        <v>44561</v>
      </c>
      <c r="AH5" s="7">
        <f t="shared" si="8"/>
        <v>44651</v>
      </c>
      <c r="AI5" s="7">
        <f t="shared" si="8"/>
        <v>44742</v>
      </c>
      <c r="AJ5" s="7">
        <f t="shared" si="8"/>
        <v>44834</v>
      </c>
      <c r="AK5" s="7">
        <f t="shared" si="8"/>
        <v>44926</v>
      </c>
      <c r="AL5" s="7">
        <f t="shared" si="8"/>
        <v>45016</v>
      </c>
      <c r="AM5" s="7">
        <f t="shared" si="8"/>
        <v>45107</v>
      </c>
      <c r="AN5" s="7">
        <f t="shared" si="8"/>
        <v>45199</v>
      </c>
      <c r="AO5" s="7">
        <f t="shared" si="8"/>
        <v>45291</v>
      </c>
      <c r="AP5" s="7">
        <f t="shared" si="8"/>
        <v>45382</v>
      </c>
      <c r="AQ5" s="7">
        <f t="shared" si="8"/>
        <v>45473</v>
      </c>
      <c r="AR5" s="7">
        <f t="shared" si="8"/>
        <v>45565</v>
      </c>
      <c r="AS5" s="7">
        <f t="shared" si="8"/>
        <v>45657</v>
      </c>
      <c r="AT5" s="7">
        <f t="shared" si="8"/>
        <v>45747</v>
      </c>
      <c r="AU5" s="7">
        <f t="shared" si="8"/>
        <v>45838</v>
      </c>
      <c r="AV5" s="7">
        <f t="shared" si="8"/>
        <v>45930</v>
      </c>
      <c r="AW5" s="7">
        <f>+EOMONTH(AW4,2)</f>
        <v>46022</v>
      </c>
      <c r="AX5" s="7">
        <f>+EOMONTH(AX4,2)</f>
        <v>46112</v>
      </c>
      <c r="AY5" s="7">
        <f>+EOMONTH(AY4,2)</f>
        <v>46203</v>
      </c>
      <c r="AZ5" s="7">
        <f>+EOMONTH(AZ4,2)</f>
        <v>46295</v>
      </c>
      <c r="BA5" s="7">
        <f>+EOMONTH(BA4,2)</f>
        <v>46387</v>
      </c>
      <c r="BB5" s="8" t="s">
        <v>75</v>
      </c>
    </row>
    <row r="6" spans="1:54" outlineLevel="1" x14ac:dyDescent="0.2">
      <c r="A6" s="1" t="s">
        <v>0</v>
      </c>
      <c r="R6" s="1">
        <f>+YEAR(R5)</f>
        <v>2018</v>
      </c>
      <c r="S6" s="1">
        <f t="shared" ref="S6:Y6" si="9">+YEAR(S5)</f>
        <v>2018</v>
      </c>
      <c r="T6" s="1">
        <f t="shared" si="9"/>
        <v>2018</v>
      </c>
      <c r="U6" s="1">
        <f t="shared" si="9"/>
        <v>2018</v>
      </c>
      <c r="V6" s="1">
        <f t="shared" si="9"/>
        <v>2019</v>
      </c>
      <c r="W6" s="1">
        <f t="shared" si="9"/>
        <v>2019</v>
      </c>
      <c r="X6" s="1">
        <f t="shared" si="9"/>
        <v>2019</v>
      </c>
      <c r="Y6" s="1">
        <f t="shared" si="9"/>
        <v>2019</v>
      </c>
      <c r="Z6" s="1">
        <f>+YEAR(Z5)</f>
        <v>2020</v>
      </c>
      <c r="AA6" s="1">
        <f>+YEAR(AA5)</f>
        <v>2020</v>
      </c>
      <c r="AB6" s="1">
        <f>+YEAR(AB5)</f>
        <v>2020</v>
      </c>
      <c r="AC6" s="1">
        <f t="shared" ref="AC6:AV6" si="10">+YEAR(AC5)</f>
        <v>2020</v>
      </c>
      <c r="AD6" s="1">
        <f t="shared" si="10"/>
        <v>2021</v>
      </c>
      <c r="AE6" s="1">
        <f t="shared" si="10"/>
        <v>2021</v>
      </c>
      <c r="AF6" s="1">
        <f t="shared" si="10"/>
        <v>2021</v>
      </c>
      <c r="AG6" s="1">
        <f t="shared" si="10"/>
        <v>2021</v>
      </c>
      <c r="AH6" s="1">
        <f t="shared" si="10"/>
        <v>2022</v>
      </c>
      <c r="AI6" s="1">
        <f t="shared" si="10"/>
        <v>2022</v>
      </c>
      <c r="AJ6" s="1">
        <f t="shared" si="10"/>
        <v>2022</v>
      </c>
      <c r="AK6" s="1">
        <f t="shared" si="10"/>
        <v>2022</v>
      </c>
      <c r="AL6" s="1">
        <f t="shared" si="10"/>
        <v>2023</v>
      </c>
      <c r="AM6" s="1">
        <f t="shared" si="10"/>
        <v>2023</v>
      </c>
      <c r="AN6" s="1">
        <f t="shared" si="10"/>
        <v>2023</v>
      </c>
      <c r="AO6" s="1">
        <f t="shared" si="10"/>
        <v>2023</v>
      </c>
      <c r="AP6" s="1">
        <f t="shared" si="10"/>
        <v>2024</v>
      </c>
      <c r="AQ6" s="1">
        <f t="shared" si="10"/>
        <v>2024</v>
      </c>
      <c r="AR6" s="1">
        <f t="shared" si="10"/>
        <v>2024</v>
      </c>
      <c r="AS6" s="1">
        <f t="shared" si="10"/>
        <v>2024</v>
      </c>
      <c r="AT6" s="1">
        <f t="shared" si="10"/>
        <v>2025</v>
      </c>
      <c r="AU6" s="1">
        <f t="shared" si="10"/>
        <v>2025</v>
      </c>
      <c r="AV6" s="1">
        <f t="shared" si="10"/>
        <v>2025</v>
      </c>
      <c r="AW6" s="1">
        <f>+YEAR(AW5)</f>
        <v>2025</v>
      </c>
      <c r="AX6" s="1">
        <f>+YEAR(AX5)</f>
        <v>2026</v>
      </c>
      <c r="AY6" s="1">
        <f>+YEAR(AY5)</f>
        <v>2026</v>
      </c>
      <c r="AZ6" s="1">
        <f>+YEAR(AZ5)</f>
        <v>2026</v>
      </c>
      <c r="BA6" s="1">
        <f>+YEAR(BA5)</f>
        <v>2026</v>
      </c>
      <c r="BB6" s="8" t="s">
        <v>75</v>
      </c>
    </row>
    <row r="7" spans="1:54" s="3" customFormat="1" x14ac:dyDescent="0.2">
      <c r="A7" s="17" t="s">
        <v>75</v>
      </c>
      <c r="B7" s="3" t="s">
        <v>18</v>
      </c>
      <c r="BB7" s="87" t="s">
        <v>75</v>
      </c>
    </row>
    <row r="8" spans="1:54" x14ac:dyDescent="0.2">
      <c r="B8" s="1" t="s">
        <v>19</v>
      </c>
      <c r="C8" s="45" t="s">
        <v>187</v>
      </c>
      <c r="F8" s="11">
        <f t="shared" ref="F8:H21" si="11">+SUMIFS(8:8,$6:$6,F$3)</f>
        <v>1258.1300000000001</v>
      </c>
      <c r="G8" s="11">
        <f t="shared" si="11"/>
        <v>937.94500000000005</v>
      </c>
      <c r="H8" s="11">
        <f t="shared" si="11"/>
        <v>1462.1030000000001</v>
      </c>
      <c r="I8" s="11">
        <f t="shared" ref="I8:N8" ca="1" si="12">+SUMIFS(8:8,$6:$6,I$3)</f>
        <v>1483.5917752521761</v>
      </c>
      <c r="J8" s="11">
        <f t="shared" ca="1" si="12"/>
        <v>1670.591965820096</v>
      </c>
      <c r="K8" s="11">
        <f t="shared" ca="1" si="12"/>
        <v>1813.0401507578533</v>
      </c>
      <c r="L8" s="11">
        <f t="shared" ca="1" si="12"/>
        <v>1970.5672351425687</v>
      </c>
      <c r="M8" s="11">
        <f t="shared" ca="1" si="12"/>
        <v>2144.8473337829541</v>
      </c>
      <c r="N8" s="11">
        <f t="shared" ca="1" si="12"/>
        <v>2330.4589020738581</v>
      </c>
      <c r="O8" s="11"/>
      <c r="P8" s="11"/>
      <c r="R8" s="12">
        <v>169.923</v>
      </c>
      <c r="S8" s="12">
        <v>276.42700000000002</v>
      </c>
      <c r="T8" s="12">
        <v>263.11596547006332</v>
      </c>
      <c r="U8" s="12">
        <v>548.66403452993677</v>
      </c>
      <c r="V8" s="12">
        <v>191.07216957197804</v>
      </c>
      <c r="W8" s="12">
        <v>253.67483042802198</v>
      </c>
      <c r="X8" s="12">
        <v>272.00100000000003</v>
      </c>
      <c r="Y8" s="12">
        <v>221.197</v>
      </c>
      <c r="Z8" s="12">
        <v>213.52199999999999</v>
      </c>
      <c r="AA8" s="12">
        <v>426.19499999999999</v>
      </c>
      <c r="AB8" s="12">
        <v>464.73799999999994</v>
      </c>
      <c r="AC8" s="12">
        <v>357.64800000000014</v>
      </c>
      <c r="AD8" s="46">
        <f ca="1">+SUMIFS(Segments!$41:$41,Segments!$3:$3,Financials!AD$3)</f>
        <v>327.22157517198423</v>
      </c>
      <c r="AE8" s="46">
        <f ca="1">+SUMIFS(Segments!$41:$41,Segments!$3:$3,Financials!AE$3)</f>
        <v>431.29173616136291</v>
      </c>
      <c r="AF8" s="46">
        <f ca="1">+SUMIFS(Segments!$41:$41,Segments!$3:$3,Financials!AF$3)</f>
        <v>420.97015883395881</v>
      </c>
      <c r="AG8" s="46">
        <f ca="1">+SUMIFS(Segments!$41:$41,Segments!$3:$3,Financials!AG$3)</f>
        <v>304.10830508487015</v>
      </c>
      <c r="AH8" s="46">
        <f ca="1">+SUMIFS(Segments!$41:$41,Segments!$3:$3,Financials!AH$3)</f>
        <v>368.37116850755012</v>
      </c>
      <c r="AI8" s="46">
        <f ca="1">+SUMIFS(Segments!$41:$41,Segments!$3:$3,Financials!AI$3)</f>
        <v>485.54014812029317</v>
      </c>
      <c r="AJ8" s="46">
        <f ca="1">+SUMIFS(Segments!$41:$41,Segments!$3:$3,Financials!AJ$3)</f>
        <v>473.99433149828337</v>
      </c>
      <c r="AK8" s="46">
        <f ca="1">+SUMIFS(Segments!$41:$41,Segments!$3:$3,Financials!AK$3)</f>
        <v>342.68631769396933</v>
      </c>
      <c r="AL8" s="46">
        <f ca="1">+SUMIFS(Segments!$41:$41,Segments!$3:$3,Financials!AL$3)</f>
        <v>397.82272626401209</v>
      </c>
      <c r="AM8" s="46">
        <f ca="1">+SUMIFS(Segments!$41:$41,Segments!$3:$3,Financials!AM$3)</f>
        <v>529.24646968920331</v>
      </c>
      <c r="AN8" s="46">
        <f ca="1">+SUMIFS(Segments!$41:$41,Segments!$3:$3,Financials!AN$3)</f>
        <v>516.54491980677312</v>
      </c>
      <c r="AO8" s="46">
        <f ca="1">+SUMIFS(Segments!$41:$41,Segments!$3:$3,Financials!AO$3)</f>
        <v>369.42603499786469</v>
      </c>
      <c r="AP8" s="46">
        <f ca="1">+SUMIFS(Segments!$41:$41,Segments!$3:$3,Financials!AP$3)</f>
        <v>430.29787647927628</v>
      </c>
      <c r="AQ8" s="46">
        <f ca="1">+SUMIFS(Segments!$41:$41,Segments!$3:$3,Financials!AQ$3)</f>
        <v>577.6811866352283</v>
      </c>
      <c r="AR8" s="46">
        <f ca="1">+SUMIFS(Segments!$41:$41,Segments!$3:$3,Financials!AR$3)</f>
        <v>563.70593625180061</v>
      </c>
      <c r="AS8" s="46">
        <f ca="1">+SUMIFS(Segments!$41:$41,Segments!$3:$3,Financials!AS$3)</f>
        <v>398.8822357762636</v>
      </c>
      <c r="AT8" s="46">
        <f ca="1">+SUMIFS(Segments!$41:$41,Segments!$3:$3,Financials!AT$3)</f>
        <v>466.12841151517824</v>
      </c>
      <c r="AU8" s="46">
        <f ca="1">+SUMIFS(Segments!$41:$41,Segments!$3:$3,Financials!AU$3)</f>
        <v>631.37304721848955</v>
      </c>
      <c r="AV8" s="46">
        <f ca="1">+SUMIFS(Segments!$41:$41,Segments!$3:$3,Financials!AV$3)</f>
        <v>615.99385474316864</v>
      </c>
      <c r="AW8" s="46">
        <f ca="1">+SUMIFS(Segments!$41:$41,Segments!$3:$3,Financials!AW$3)</f>
        <v>431.35202030611788</v>
      </c>
      <c r="AX8" s="46">
        <f ca="1">+SUMIFS(Segments!$41:$41,Segments!$3:$3,Financials!AX$3)</f>
        <v>504.25663817663144</v>
      </c>
      <c r="AY8" s="46">
        <f ca="1">+SUMIFS(Segments!$41:$41,Segments!$3:$3,Financials!AY$3)</f>
        <v>688.59490258652772</v>
      </c>
      <c r="AZ8" s="46">
        <f ca="1">+SUMIFS(Segments!$41:$41,Segments!$3:$3,Financials!AZ$3)</f>
        <v>671.71489794707486</v>
      </c>
      <c r="BA8" s="46">
        <f ca="1">+SUMIFS(Segments!$41:$41,Segments!$3:$3,Financials!BA$3)</f>
        <v>465.89246336362407</v>
      </c>
      <c r="BB8" s="8" t="s">
        <v>75</v>
      </c>
    </row>
    <row r="9" spans="1:54" x14ac:dyDescent="0.2">
      <c r="B9" s="1" t="s">
        <v>20</v>
      </c>
      <c r="C9" s="45" t="s">
        <v>187</v>
      </c>
      <c r="F9" s="11">
        <f t="shared" si="11"/>
        <v>-634.55100000000004</v>
      </c>
      <c r="G9" s="11">
        <f t="shared" si="11"/>
        <v>-625.77</v>
      </c>
      <c r="H9" s="11">
        <f t="shared" si="11"/>
        <v>-1089.606</v>
      </c>
      <c r="I9" s="11"/>
      <c r="J9" s="11"/>
      <c r="K9" s="11"/>
      <c r="L9" s="11"/>
      <c r="M9" s="11"/>
      <c r="N9" s="11"/>
      <c r="O9" s="11"/>
      <c r="P9" s="11"/>
      <c r="R9" s="12">
        <v>-120.063</v>
      </c>
      <c r="S9" s="12">
        <v>-146.07499999999999</v>
      </c>
      <c r="T9" s="12">
        <v>-185.00718457802793</v>
      </c>
      <c r="U9" s="12">
        <v>-183.40581542197214</v>
      </c>
      <c r="V9" s="12">
        <v>-133.94570000000002</v>
      </c>
      <c r="W9" s="12">
        <v>-150.22829999999996</v>
      </c>
      <c r="X9" s="12">
        <v>-182.91700000000003</v>
      </c>
      <c r="Y9" s="12">
        <v>-158.67899999999997</v>
      </c>
      <c r="Z9" s="12">
        <v>-230.65299999999999</v>
      </c>
      <c r="AA9" s="12">
        <v>-324.97899999999993</v>
      </c>
      <c r="AB9" s="12">
        <v>-329.20800000000008</v>
      </c>
      <c r="AC9" s="12">
        <v>-204.76599999999996</v>
      </c>
      <c r="BB9" s="8" t="s">
        <v>75</v>
      </c>
    </row>
    <row r="10" spans="1:54" s="2" customFormat="1" x14ac:dyDescent="0.2">
      <c r="B10" s="18" t="s">
        <v>21</v>
      </c>
      <c r="C10" s="45" t="s">
        <v>187</v>
      </c>
      <c r="D10" s="18"/>
      <c r="E10" s="1"/>
      <c r="F10" s="13">
        <f t="shared" si="11"/>
        <v>623.57900000000006</v>
      </c>
      <c r="G10" s="13">
        <f t="shared" si="11"/>
        <v>312.17500000000007</v>
      </c>
      <c r="H10" s="13">
        <f t="shared" si="11"/>
        <v>372.49700000000007</v>
      </c>
      <c r="I10" s="13"/>
      <c r="J10" s="13"/>
      <c r="K10" s="13"/>
      <c r="L10" s="13"/>
      <c r="M10" s="13"/>
      <c r="N10" s="13"/>
      <c r="O10" s="13"/>
      <c r="P10" s="13"/>
      <c r="R10" s="13">
        <f t="shared" ref="R10:AC10" si="13">+R8+R9</f>
        <v>49.86</v>
      </c>
      <c r="S10" s="13">
        <f t="shared" si="13"/>
        <v>130.35200000000003</v>
      </c>
      <c r="T10" s="13">
        <f t="shared" si="13"/>
        <v>78.108780892035384</v>
      </c>
      <c r="U10" s="13">
        <f t="shared" si="13"/>
        <v>365.25821910796463</v>
      </c>
      <c r="V10" s="13">
        <f t="shared" si="13"/>
        <v>57.126469571978021</v>
      </c>
      <c r="W10" s="13">
        <f t="shared" si="13"/>
        <v>103.44653042802202</v>
      </c>
      <c r="X10" s="13">
        <f t="shared" si="13"/>
        <v>89.084000000000003</v>
      </c>
      <c r="Y10" s="13">
        <f t="shared" si="13"/>
        <v>62.518000000000029</v>
      </c>
      <c r="Z10" s="13">
        <f t="shared" si="13"/>
        <v>-17.131</v>
      </c>
      <c r="AA10" s="13">
        <f t="shared" si="13"/>
        <v>101.21600000000007</v>
      </c>
      <c r="AB10" s="13">
        <f t="shared" si="13"/>
        <v>135.52999999999986</v>
      </c>
      <c r="AC10" s="13">
        <f t="shared" si="13"/>
        <v>152.88200000000018</v>
      </c>
      <c r="BB10" s="83" t="s">
        <v>75</v>
      </c>
    </row>
    <row r="11" spans="1:54" x14ac:dyDescent="0.2">
      <c r="B11" s="1" t="s">
        <v>22</v>
      </c>
      <c r="C11" s="45" t="s">
        <v>187</v>
      </c>
      <c r="F11" s="11">
        <f t="shared" si="11"/>
        <v>-79.924000000000007</v>
      </c>
      <c r="G11" s="11">
        <f t="shared" si="11"/>
        <v>-87.213999999999999</v>
      </c>
      <c r="H11" s="11">
        <f t="shared" si="11"/>
        <v>-195.59399999999999</v>
      </c>
      <c r="I11" s="11"/>
      <c r="J11" s="11"/>
      <c r="K11" s="11"/>
      <c r="L11" s="11"/>
      <c r="M11" s="11"/>
      <c r="N11" s="11"/>
      <c r="O11" s="11"/>
      <c r="P11" s="11"/>
      <c r="R11" s="12">
        <v>-18.898</v>
      </c>
      <c r="S11" s="12">
        <v>-22.413999999999998</v>
      </c>
      <c r="T11" s="12">
        <v>-16.467681351288327</v>
      </c>
      <c r="U11" s="12">
        <v>-22.144318648711682</v>
      </c>
      <c r="V11" s="12">
        <v>-20.453398806764906</v>
      </c>
      <c r="W11" s="12">
        <v>-28.522601193235094</v>
      </c>
      <c r="X11" s="12">
        <v>-27.826999999999998</v>
      </c>
      <c r="Y11" s="12">
        <v>-10.411000000000001</v>
      </c>
      <c r="Z11" s="12">
        <v>-35.845999999999997</v>
      </c>
      <c r="AA11" s="12">
        <v>-34.44700000000001</v>
      </c>
      <c r="AB11" s="12">
        <v>-59.474899999999991</v>
      </c>
      <c r="AC11" s="12">
        <v>-65.826099999999997</v>
      </c>
      <c r="BB11" s="8" t="s">
        <v>75</v>
      </c>
    </row>
    <row r="12" spans="1:54" x14ac:dyDescent="0.2">
      <c r="B12" s="1" t="s">
        <v>23</v>
      </c>
      <c r="C12" s="45" t="s">
        <v>187</v>
      </c>
      <c r="F12" s="11">
        <f t="shared" si="11"/>
        <v>0</v>
      </c>
      <c r="G12" s="11">
        <f t="shared" si="11"/>
        <v>0</v>
      </c>
      <c r="H12" s="11">
        <f t="shared" si="11"/>
        <v>-2.75</v>
      </c>
      <c r="I12" s="11"/>
      <c r="J12" s="11"/>
      <c r="K12" s="11"/>
      <c r="L12" s="11"/>
      <c r="M12" s="11"/>
      <c r="N12" s="11"/>
      <c r="O12" s="11"/>
      <c r="P12" s="11"/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-2.75</v>
      </c>
      <c r="BB12" s="8" t="s">
        <v>75</v>
      </c>
    </row>
    <row r="13" spans="1:54" x14ac:dyDescent="0.2">
      <c r="B13" s="1" t="s">
        <v>24</v>
      </c>
      <c r="C13" s="45" t="s">
        <v>187</v>
      </c>
      <c r="F13" s="11">
        <f t="shared" si="11"/>
        <v>-9.7620000000000005</v>
      </c>
      <c r="G13" s="11">
        <f t="shared" si="11"/>
        <v>-6.7050000000000001</v>
      </c>
      <c r="H13" s="11">
        <f t="shared" si="11"/>
        <v>-5.3620000000000001</v>
      </c>
      <c r="I13" s="11"/>
      <c r="J13" s="11"/>
      <c r="K13" s="11"/>
      <c r="L13" s="11"/>
      <c r="M13" s="11"/>
      <c r="N13" s="11"/>
      <c r="O13" s="11"/>
      <c r="P13" s="11"/>
      <c r="R13" s="12">
        <v>-3.165</v>
      </c>
      <c r="S13" s="12">
        <v>-1.1619999999999999</v>
      </c>
      <c r="T13" s="12">
        <v>-2.5823832009159577</v>
      </c>
      <c r="U13" s="12">
        <v>-2.8526167990840428</v>
      </c>
      <c r="V13" s="12">
        <v>-4.471213355345097</v>
      </c>
      <c r="W13" s="12">
        <v>1.1219512932273594</v>
      </c>
      <c r="X13" s="12">
        <v>0.54926206211773776</v>
      </c>
      <c r="Y13" s="12">
        <v>-3.9050000000000002</v>
      </c>
      <c r="Z13" s="12">
        <v>-2.2949999999999999</v>
      </c>
      <c r="AA13" s="12">
        <v>1.8199999999999998</v>
      </c>
      <c r="AB13" s="12">
        <v>-1.819</v>
      </c>
      <c r="AC13" s="12">
        <v>-3.0680000000000001</v>
      </c>
      <c r="BB13" s="8" t="s">
        <v>75</v>
      </c>
    </row>
    <row r="14" spans="1:54" x14ac:dyDescent="0.2">
      <c r="B14" s="1" t="s">
        <v>25</v>
      </c>
      <c r="C14" s="45" t="s">
        <v>187</v>
      </c>
      <c r="F14" s="11">
        <f t="shared" si="11"/>
        <v>35.889999999999986</v>
      </c>
      <c r="G14" s="11">
        <f t="shared" si="11"/>
        <v>46.427</v>
      </c>
      <c r="H14" s="11">
        <f t="shared" si="11"/>
        <v>33.869999999999997</v>
      </c>
      <c r="I14" s="11"/>
      <c r="J14" s="11"/>
      <c r="K14" s="11"/>
      <c r="L14" s="11"/>
      <c r="M14" s="11"/>
      <c r="N14" s="11"/>
      <c r="O14" s="11"/>
      <c r="P14" s="11"/>
      <c r="R14" s="12">
        <v>0</v>
      </c>
      <c r="S14" s="12">
        <v>306.32</v>
      </c>
      <c r="T14" s="12">
        <v>-3.2653024891374116E-2</v>
      </c>
      <c r="U14" s="12">
        <v>-270.39734697510863</v>
      </c>
      <c r="V14" s="12">
        <v>-0.64400000000000002</v>
      </c>
      <c r="W14" s="12">
        <v>22.238999999999997</v>
      </c>
      <c r="X14" s="12">
        <v>13.500999999999998</v>
      </c>
      <c r="Y14" s="12">
        <v>11.331000000000003</v>
      </c>
      <c r="Z14" s="12">
        <v>10.464</v>
      </c>
      <c r="AA14" s="12">
        <v>9.0980000000000008</v>
      </c>
      <c r="AB14" s="12">
        <v>5.2910000000000004</v>
      </c>
      <c r="AC14" s="12">
        <v>9.0169999999999959</v>
      </c>
      <c r="BB14" s="8" t="s">
        <v>75</v>
      </c>
    </row>
    <row r="15" spans="1:54" s="2" customFormat="1" x14ac:dyDescent="0.2">
      <c r="B15" s="18" t="s">
        <v>553</v>
      </c>
      <c r="C15" s="45" t="s">
        <v>187</v>
      </c>
      <c r="D15" s="18"/>
      <c r="E15" s="1"/>
      <c r="F15" s="13">
        <f t="shared" si="11"/>
        <v>569.78300000000002</v>
      </c>
      <c r="G15" s="13">
        <f t="shared" si="11"/>
        <v>264.68300000000005</v>
      </c>
      <c r="H15" s="13">
        <f t="shared" si="11"/>
        <v>202.66100000000012</v>
      </c>
      <c r="I15" s="13">
        <f t="shared" ref="I15:N21" ca="1" si="14">+SUMIFS(15:15,$6:$6,I$3)</f>
        <v>543.23814822098416</v>
      </c>
      <c r="J15" s="13">
        <f t="shared" ca="1" si="14"/>
        <v>678.03034338455859</v>
      </c>
      <c r="K15" s="13">
        <f t="shared" ca="1" si="14"/>
        <v>733.4356077205257</v>
      </c>
      <c r="L15" s="13">
        <f t="shared" ca="1" si="14"/>
        <v>851.02967675545528</v>
      </c>
      <c r="M15" s="13">
        <f t="shared" ca="1" si="14"/>
        <v>960.98133522881994</v>
      </c>
      <c r="N15" s="13">
        <f t="shared" ca="1" si="14"/>
        <v>1077.8730741911868</v>
      </c>
      <c r="O15" s="13"/>
      <c r="P15" s="13"/>
      <c r="R15" s="13">
        <f t="shared" ref="R15:AC15" si="15">+R10+R11+R12+R13+R14</f>
        <v>27.797000000000001</v>
      </c>
      <c r="S15" s="13">
        <f t="shared" si="15"/>
        <v>413.096</v>
      </c>
      <c r="T15" s="13">
        <f t="shared" si="15"/>
        <v>59.026063314939726</v>
      </c>
      <c r="U15" s="13">
        <f t="shared" si="15"/>
        <v>69.863936685060253</v>
      </c>
      <c r="V15" s="13">
        <f t="shared" si="15"/>
        <v>31.557857409868014</v>
      </c>
      <c r="W15" s="13">
        <f t="shared" si="15"/>
        <v>98.28488052801427</v>
      </c>
      <c r="X15" s="13">
        <f t="shared" si="15"/>
        <v>75.307262062117744</v>
      </c>
      <c r="Y15" s="13">
        <f t="shared" si="15"/>
        <v>59.53300000000003</v>
      </c>
      <c r="Z15" s="13">
        <f t="shared" si="15"/>
        <v>-44.808</v>
      </c>
      <c r="AA15" s="13">
        <f t="shared" si="15"/>
        <v>77.687000000000054</v>
      </c>
      <c r="AB15" s="13">
        <f t="shared" si="15"/>
        <v>79.527099999999862</v>
      </c>
      <c r="AC15" s="13">
        <f t="shared" si="15"/>
        <v>90.254900000000177</v>
      </c>
      <c r="AD15" s="24">
        <f t="shared" ref="AD15:BA15" ca="1" si="16">+AD27-AD47</f>
        <v>103.04632681169019</v>
      </c>
      <c r="AE15" s="24">
        <f t="shared" ca="1" si="16"/>
        <v>186.77527262656014</v>
      </c>
      <c r="AF15" s="24">
        <f ca="1">+AF27-AF47</f>
        <v>183.13024084011664</v>
      </c>
      <c r="AG15" s="24">
        <f t="shared" ca="1" si="16"/>
        <v>70.286307942617157</v>
      </c>
      <c r="AH15" s="24">
        <f t="shared" ca="1" si="16"/>
        <v>124.3435132893901</v>
      </c>
      <c r="AI15" s="24">
        <f t="shared" ca="1" si="16"/>
        <v>235.40257840606549</v>
      </c>
      <c r="AJ15" s="24">
        <f t="shared" ca="1" si="16"/>
        <v>221.80553950625773</v>
      </c>
      <c r="AK15" s="24">
        <f t="shared" ca="1" si="16"/>
        <v>96.478712182845328</v>
      </c>
      <c r="AL15" s="24">
        <f t="shared" ca="1" si="16"/>
        <v>129.95078581669915</v>
      </c>
      <c r="AM15" s="24">
        <f t="shared" ca="1" si="16"/>
        <v>259.5636778881784</v>
      </c>
      <c r="AN15" s="24">
        <f t="shared" ca="1" si="16"/>
        <v>241.50836267921295</v>
      </c>
      <c r="AO15" s="24">
        <f t="shared" ca="1" si="16"/>
        <v>102.41278133643515</v>
      </c>
      <c r="AP15" s="24">
        <f t="shared" ca="1" si="16"/>
        <v>151.72055856221158</v>
      </c>
      <c r="AQ15" s="24">
        <f t="shared" ca="1" si="16"/>
        <v>298.48203936905924</v>
      </c>
      <c r="AR15" s="24">
        <f t="shared" ca="1" si="16"/>
        <v>278.03932331275678</v>
      </c>
      <c r="AS15" s="24">
        <f t="shared" ca="1" si="16"/>
        <v>122.78775551142765</v>
      </c>
      <c r="AT15" s="24">
        <f t="shared" ca="1" si="16"/>
        <v>171.63723281758325</v>
      </c>
      <c r="AU15" s="24">
        <f t="shared" ca="1" si="16"/>
        <v>335.93654451039572</v>
      </c>
      <c r="AV15" s="24">
        <f t="shared" ca="1" si="16"/>
        <v>313.70095894647415</v>
      </c>
      <c r="AW15" s="24">
        <f t="shared" ca="1" si="16"/>
        <v>139.70659895436688</v>
      </c>
      <c r="AX15" s="24">
        <f t="shared" ca="1" si="16"/>
        <v>192.76054328633302</v>
      </c>
      <c r="AY15" s="24">
        <f t="shared" ca="1" si="16"/>
        <v>375.79148545312904</v>
      </c>
      <c r="AZ15" s="24">
        <f t="shared" ca="1" si="16"/>
        <v>351.64014768947317</v>
      </c>
      <c r="BA15" s="24">
        <f t="shared" ca="1" si="16"/>
        <v>157.68089776225156</v>
      </c>
      <c r="BB15" s="83" t="s">
        <v>75</v>
      </c>
    </row>
    <row r="16" spans="1:54" x14ac:dyDescent="0.2">
      <c r="B16" s="1" t="s">
        <v>26</v>
      </c>
      <c r="C16" s="45" t="s">
        <v>187</v>
      </c>
      <c r="F16" s="11">
        <f t="shared" si="11"/>
        <v>67.947999999999993</v>
      </c>
      <c r="G16" s="11">
        <f t="shared" si="11"/>
        <v>33.43</v>
      </c>
      <c r="H16" s="11">
        <f t="shared" si="11"/>
        <v>54.420999999999999</v>
      </c>
      <c r="I16" s="11">
        <f t="shared" si="14"/>
        <v>0</v>
      </c>
      <c r="J16" s="11">
        <f t="shared" si="14"/>
        <v>0</v>
      </c>
      <c r="K16" s="11">
        <f t="shared" si="14"/>
        <v>0</v>
      </c>
      <c r="L16" s="11">
        <f t="shared" si="14"/>
        <v>0</v>
      </c>
      <c r="M16" s="11">
        <f t="shared" si="14"/>
        <v>0</v>
      </c>
      <c r="N16" s="11">
        <f t="shared" si="14"/>
        <v>0</v>
      </c>
      <c r="O16" s="11"/>
      <c r="P16" s="11"/>
      <c r="R16" s="12">
        <v>25.747</v>
      </c>
      <c r="S16" s="12">
        <v>-18.489612079508593</v>
      </c>
      <c r="T16" s="12">
        <v>76.435612079508587</v>
      </c>
      <c r="U16" s="12">
        <v>-15.745000000000005</v>
      </c>
      <c r="V16" s="12">
        <v>39.273055910747821</v>
      </c>
      <c r="W16" s="12">
        <v>-24.380085237540019</v>
      </c>
      <c r="X16" s="12">
        <v>-0.44997067320780282</v>
      </c>
      <c r="Y16" s="12">
        <v>18.987000000000002</v>
      </c>
      <c r="Z16" s="12">
        <v>53.286000000000001</v>
      </c>
      <c r="AA16" s="12">
        <v>11.242000000000004</v>
      </c>
      <c r="AB16" s="12">
        <v>1.9055920930480852</v>
      </c>
      <c r="AC16" s="12">
        <v>-12.012592093048092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8" t="s">
        <v>75</v>
      </c>
    </row>
    <row r="17" spans="1:54" x14ac:dyDescent="0.2">
      <c r="B17" s="1" t="s">
        <v>27</v>
      </c>
      <c r="C17" s="45" t="s">
        <v>187</v>
      </c>
      <c r="F17" s="11">
        <f t="shared" si="11"/>
        <v>-454.995</v>
      </c>
      <c r="G17" s="11">
        <f t="shared" si="11"/>
        <v>-203.637</v>
      </c>
      <c r="H17" s="11">
        <f t="shared" si="11"/>
        <v>-305.447</v>
      </c>
      <c r="I17" s="11">
        <f t="shared" ca="1" si="14"/>
        <v>-215.86527683987455</v>
      </c>
      <c r="J17" s="11">
        <f t="shared" ca="1" si="14"/>
        <v>-191.2282372531499</v>
      </c>
      <c r="K17" s="11">
        <f t="shared" ca="1" si="14"/>
        <v>-192.38855961681071</v>
      </c>
      <c r="L17" s="11">
        <f t="shared" ca="1" si="14"/>
        <v>-195.40924712821561</v>
      </c>
      <c r="M17" s="11">
        <f t="shared" ca="1" si="14"/>
        <v>-198.47377890340729</v>
      </c>
      <c r="N17" s="11">
        <f t="shared" ca="1" si="14"/>
        <v>-201.58269879008935</v>
      </c>
      <c r="O17" s="11"/>
      <c r="P17" s="11"/>
      <c r="R17" s="12">
        <v>-171.9</v>
      </c>
      <c r="S17" s="12">
        <v>-133.83665158562556</v>
      </c>
      <c r="T17" s="12">
        <v>-118.91434841437444</v>
      </c>
      <c r="U17" s="12">
        <v>-30.343999999999994</v>
      </c>
      <c r="V17" s="12">
        <v>-71.142422215438899</v>
      </c>
      <c r="W17" s="12">
        <v>-13.557577784561104</v>
      </c>
      <c r="X17" s="12">
        <v>-44.472999999999999</v>
      </c>
      <c r="Y17" s="12">
        <v>-74.463999999999999</v>
      </c>
      <c r="Z17" s="12">
        <v>-132.30799999999999</v>
      </c>
      <c r="AA17" s="12">
        <v>-78.259000000000015</v>
      </c>
      <c r="AB17" s="12">
        <v>-77.521691406290415</v>
      </c>
      <c r="AC17" s="12">
        <v>-17.35830859370958</v>
      </c>
      <c r="AD17" s="46">
        <f ca="1">+SUMIFS(Debt!$37:$37,Debt!$3:$3,Financials!AD$3)</f>
        <v>-64.940278735891326</v>
      </c>
      <c r="AE17" s="46">
        <f ca="1">+SUMIFS(Debt!$37:$37,Debt!$3:$3,Financials!AE$3)</f>
        <v>-50.108183127156231</v>
      </c>
      <c r="AF17" s="46">
        <f ca="1">+SUMIFS(Debt!$37:$37,Debt!$3:$3,Financials!AF$3)</f>
        <v>-50.308082827827981</v>
      </c>
      <c r="AG17" s="46">
        <f ca="1">+SUMIFS(Debt!$37:$37,Debt!$3:$3,Financials!AG$3)</f>
        <v>-50.50873214899903</v>
      </c>
      <c r="AH17" s="46">
        <f ca="1">+SUMIFS(Debt!$37:$37,Debt!$3:$3,Financials!AH$3)</f>
        <v>-48.893073100434009</v>
      </c>
      <c r="AI17" s="46">
        <f ca="1">+SUMIFS(Debt!$37:$37,Debt!$3:$3,Financials!AI$3)</f>
        <v>-47.260088496847509</v>
      </c>
      <c r="AJ17" s="46">
        <f ca="1">+SUMIFS(Debt!$37:$37,Debt!$3:$3,Financials!AJ$3)</f>
        <v>-47.444831616108324</v>
      </c>
      <c r="AK17" s="46">
        <f ca="1">+SUMIFS(Debt!$37:$37,Debt!$3:$3,Financials!AK$3)</f>
        <v>-47.630244039760044</v>
      </c>
      <c r="AL17" s="46">
        <f ca="1">+SUMIFS(Debt!$37:$37,Debt!$3:$3,Financials!AL$3)</f>
        <v>-47.816327854811504</v>
      </c>
      <c r="AM17" s="46">
        <f ca="1">+SUMIFS(Debt!$37:$37,Debt!$3:$3,Financials!AM$3)</f>
        <v>-48.003085152471364</v>
      </c>
      <c r="AN17" s="46">
        <f ca="1">+SUMIFS(Debt!$37:$37,Debt!$3:$3,Financials!AN$3)</f>
        <v>-48.190518028138044</v>
      </c>
      <c r="AO17" s="46">
        <f ca="1">+SUMIFS(Debt!$37:$37,Debt!$3:$3,Financials!AO$3)</f>
        <v>-48.378628581389833</v>
      </c>
      <c r="AP17" s="46">
        <f ca="1">+SUMIFS(Debt!$37:$37,Debt!$3:$3,Financials!AP$3)</f>
        <v>-48.567418915974471</v>
      </c>
      <c r="AQ17" s="46">
        <f ca="1">+SUMIFS(Debt!$37:$37,Debt!$3:$3,Financials!AQ$3)</f>
        <v>-48.756891139798789</v>
      </c>
      <c r="AR17" s="46">
        <f ca="1">+SUMIFS(Debt!$37:$37,Debt!$3:$3,Financials!AR$3)</f>
        <v>-48.947047364917907</v>
      </c>
      <c r="AS17" s="46">
        <f ca="1">+SUMIFS(Debt!$37:$37,Debt!$3:$3,Financials!AS$3)</f>
        <v>-49.137889707524423</v>
      </c>
      <c r="AT17" s="46">
        <f ca="1">+SUMIFS(Debt!$37:$37,Debt!$3:$3,Financials!AT$3)</f>
        <v>-49.329420287937246</v>
      </c>
      <c r="AU17" s="46">
        <f ca="1">+SUMIFS(Debt!$37:$37,Debt!$3:$3,Financials!AU$3)</f>
        <v>-49.521641230590333</v>
      </c>
      <c r="AV17" s="46">
        <f ca="1">+SUMIFS(Debt!$37:$37,Debt!$3:$3,Financials!AV$3)</f>
        <v>-49.714554664021072</v>
      </c>
      <c r="AW17" s="46">
        <f ca="1">+SUMIFS(Debt!$37:$37,Debt!$3:$3,Financials!AW$3)</f>
        <v>-49.908162720858627</v>
      </c>
      <c r="AX17" s="46">
        <f ca="1">+SUMIFS(Debt!$37:$37,Debt!$3:$3,Financials!AX$3)</f>
        <v>-50.102467537811904</v>
      </c>
      <c r="AY17" s="46">
        <f ca="1">+SUMIFS(Debt!$37:$37,Debt!$3:$3,Financials!AY$3)</f>
        <v>-50.297471255657328</v>
      </c>
      <c r="AZ17" s="46">
        <f ca="1">+SUMIFS(Debt!$37:$37,Debt!$3:$3,Financials!AZ$3)</f>
        <v>-50.493176019226524</v>
      </c>
      <c r="BA17" s="46">
        <f ca="1">+SUMIFS(Debt!$37:$37,Debt!$3:$3,Financials!BA$3)</f>
        <v>-50.68958397739361</v>
      </c>
      <c r="BB17" s="8" t="s">
        <v>75</v>
      </c>
    </row>
    <row r="18" spans="1:54" s="2" customFormat="1" x14ac:dyDescent="0.2">
      <c r="B18" s="18" t="s">
        <v>554</v>
      </c>
      <c r="C18" s="45" t="s">
        <v>187</v>
      </c>
      <c r="D18" s="18"/>
      <c r="E18" s="1"/>
      <c r="F18" s="13">
        <f t="shared" si="11"/>
        <v>-387.04700000000003</v>
      </c>
      <c r="G18" s="13">
        <f t="shared" si="11"/>
        <v>-170.20699999999999</v>
      </c>
      <c r="H18" s="13">
        <f t="shared" si="11"/>
        <v>-251.02599999999998</v>
      </c>
      <c r="I18" s="13">
        <f t="shared" ca="1" si="14"/>
        <v>-215.86527683987455</v>
      </c>
      <c r="J18" s="13">
        <f t="shared" ca="1" si="14"/>
        <v>-191.2282372531499</v>
      </c>
      <c r="K18" s="13">
        <f t="shared" ca="1" si="14"/>
        <v>-192.38855961681071</v>
      </c>
      <c r="L18" s="13">
        <f t="shared" ca="1" si="14"/>
        <v>-195.40924712821561</v>
      </c>
      <c r="M18" s="13">
        <f t="shared" ca="1" si="14"/>
        <v>-198.47377890340729</v>
      </c>
      <c r="N18" s="13">
        <f t="shared" ca="1" si="14"/>
        <v>-201.58269879008935</v>
      </c>
      <c r="O18" s="13"/>
      <c r="P18" s="13"/>
      <c r="R18" s="13">
        <f>+R16+R17</f>
        <v>-146.15300000000002</v>
      </c>
      <c r="S18" s="13">
        <f t="shared" ref="S18:BA18" si="17">+S16+S17</f>
        <v>-152.32626366513415</v>
      </c>
      <c r="T18" s="13">
        <f t="shared" si="17"/>
        <v>-42.478736334865857</v>
      </c>
      <c r="U18" s="13">
        <f t="shared" si="17"/>
        <v>-46.088999999999999</v>
      </c>
      <c r="V18" s="13">
        <f t="shared" si="17"/>
        <v>-31.869366304691077</v>
      </c>
      <c r="W18" s="13">
        <f t="shared" si="17"/>
        <v>-37.93766302210112</v>
      </c>
      <c r="X18" s="13">
        <f t="shared" si="17"/>
        <v>-44.9229706732078</v>
      </c>
      <c r="Y18" s="13">
        <f t="shared" si="17"/>
        <v>-55.476999999999997</v>
      </c>
      <c r="Z18" s="13">
        <f t="shared" si="17"/>
        <v>-79.021999999999991</v>
      </c>
      <c r="AA18" s="13">
        <f t="shared" si="17"/>
        <v>-67.01700000000001</v>
      </c>
      <c r="AB18" s="13">
        <f t="shared" si="17"/>
        <v>-75.61609931324233</v>
      </c>
      <c r="AC18" s="13">
        <f t="shared" si="17"/>
        <v>-29.370900686757672</v>
      </c>
      <c r="AD18" s="13">
        <f t="shared" ca="1" si="17"/>
        <v>-64.940278735891326</v>
      </c>
      <c r="AE18" s="13">
        <f t="shared" ca="1" si="17"/>
        <v>-50.108183127156231</v>
      </c>
      <c r="AF18" s="13">
        <f t="shared" ca="1" si="17"/>
        <v>-50.308082827827981</v>
      </c>
      <c r="AG18" s="13">
        <f t="shared" ca="1" si="17"/>
        <v>-50.50873214899903</v>
      </c>
      <c r="AH18" s="13">
        <f t="shared" ca="1" si="17"/>
        <v>-48.893073100434009</v>
      </c>
      <c r="AI18" s="13">
        <f t="shared" ca="1" si="17"/>
        <v>-47.260088496847509</v>
      </c>
      <c r="AJ18" s="13">
        <f t="shared" ca="1" si="17"/>
        <v>-47.444831616108324</v>
      </c>
      <c r="AK18" s="13">
        <f t="shared" ca="1" si="17"/>
        <v>-47.630244039760044</v>
      </c>
      <c r="AL18" s="13">
        <f t="shared" ca="1" si="17"/>
        <v>-47.816327854811504</v>
      </c>
      <c r="AM18" s="13">
        <f t="shared" ca="1" si="17"/>
        <v>-48.003085152471364</v>
      </c>
      <c r="AN18" s="13">
        <f t="shared" ca="1" si="17"/>
        <v>-48.190518028138044</v>
      </c>
      <c r="AO18" s="13">
        <f t="shared" ca="1" si="17"/>
        <v>-48.378628581389833</v>
      </c>
      <c r="AP18" s="13">
        <f t="shared" ca="1" si="17"/>
        <v>-48.567418915974471</v>
      </c>
      <c r="AQ18" s="13">
        <f t="shared" ca="1" si="17"/>
        <v>-48.756891139798789</v>
      </c>
      <c r="AR18" s="13">
        <f t="shared" ca="1" si="17"/>
        <v>-48.947047364917907</v>
      </c>
      <c r="AS18" s="13">
        <f t="shared" ca="1" si="17"/>
        <v>-49.137889707524423</v>
      </c>
      <c r="AT18" s="13">
        <f t="shared" ca="1" si="17"/>
        <v>-49.329420287937246</v>
      </c>
      <c r="AU18" s="13">
        <f t="shared" ca="1" si="17"/>
        <v>-49.521641230590333</v>
      </c>
      <c r="AV18" s="13">
        <f t="shared" ca="1" si="17"/>
        <v>-49.714554664021072</v>
      </c>
      <c r="AW18" s="13">
        <f t="shared" ca="1" si="17"/>
        <v>-49.908162720858627</v>
      </c>
      <c r="AX18" s="13">
        <f t="shared" ca="1" si="17"/>
        <v>-50.102467537811904</v>
      </c>
      <c r="AY18" s="13">
        <f t="shared" ca="1" si="17"/>
        <v>-50.297471255657328</v>
      </c>
      <c r="AZ18" s="13">
        <f t="shared" ca="1" si="17"/>
        <v>-50.493176019226524</v>
      </c>
      <c r="BA18" s="13">
        <f t="shared" ca="1" si="17"/>
        <v>-50.68958397739361</v>
      </c>
      <c r="BB18" s="83" t="s">
        <v>75</v>
      </c>
    </row>
    <row r="19" spans="1:54" s="2" customFormat="1" x14ac:dyDescent="0.2">
      <c r="B19" s="18" t="s">
        <v>31</v>
      </c>
      <c r="C19" s="45" t="s">
        <v>187</v>
      </c>
      <c r="D19" s="18"/>
      <c r="E19" s="1"/>
      <c r="F19" s="13">
        <f t="shared" si="11"/>
        <v>182.73599999999996</v>
      </c>
      <c r="G19" s="13">
        <f t="shared" si="11"/>
        <v>94.476000000000056</v>
      </c>
      <c r="H19" s="13">
        <f t="shared" si="11"/>
        <v>-48.364999999999903</v>
      </c>
      <c r="I19" s="13">
        <f t="shared" ca="1" si="14"/>
        <v>327.37287138110958</v>
      </c>
      <c r="J19" s="13">
        <f t="shared" ca="1" si="14"/>
        <v>486.80210613140878</v>
      </c>
      <c r="K19" s="13">
        <f t="shared" ca="1" si="14"/>
        <v>541.04704810371493</v>
      </c>
      <c r="L19" s="13">
        <f t="shared" ca="1" si="14"/>
        <v>655.62042962723967</v>
      </c>
      <c r="M19" s="13">
        <f t="shared" ca="1" si="14"/>
        <v>762.50755632541268</v>
      </c>
      <c r="N19" s="13">
        <f t="shared" ca="1" si="14"/>
        <v>876.29037540109744</v>
      </c>
      <c r="O19" s="13"/>
      <c r="P19" s="13"/>
      <c r="R19" s="13">
        <f t="shared" ref="R19:AC19" si="18">+R18+R15</f>
        <v>-118.35600000000002</v>
      </c>
      <c r="S19" s="13">
        <f t="shared" si="18"/>
        <v>260.76973633486585</v>
      </c>
      <c r="T19" s="13">
        <f t="shared" si="18"/>
        <v>16.547326980073869</v>
      </c>
      <c r="U19" s="13">
        <f t="shared" si="18"/>
        <v>23.774936685060254</v>
      </c>
      <c r="V19" s="13">
        <f t="shared" si="18"/>
        <v>-0.31150889482306354</v>
      </c>
      <c r="W19" s="13">
        <f t="shared" si="18"/>
        <v>60.34721750591315</v>
      </c>
      <c r="X19" s="13">
        <f t="shared" si="18"/>
        <v>30.384291388909944</v>
      </c>
      <c r="Y19" s="13">
        <f t="shared" si="18"/>
        <v>4.0560000000000329</v>
      </c>
      <c r="Z19" s="13">
        <f t="shared" si="18"/>
        <v>-123.82999999999998</v>
      </c>
      <c r="AA19" s="13">
        <f t="shared" si="18"/>
        <v>10.670000000000044</v>
      </c>
      <c r="AB19" s="13">
        <f t="shared" si="18"/>
        <v>3.9110006867575322</v>
      </c>
      <c r="AC19" s="13">
        <f t="shared" si="18"/>
        <v>60.883999313242505</v>
      </c>
      <c r="AD19" s="13">
        <f t="shared" ref="AD19:BA19" ca="1" si="19">+AD18+AD15</f>
        <v>38.106048075798867</v>
      </c>
      <c r="AE19" s="13">
        <f t="shared" ca="1" si="19"/>
        <v>136.66708949940391</v>
      </c>
      <c r="AF19" s="13">
        <f t="shared" ca="1" si="19"/>
        <v>132.82215801228867</v>
      </c>
      <c r="AG19" s="13">
        <f t="shared" ca="1" si="19"/>
        <v>19.777575793618126</v>
      </c>
      <c r="AH19" s="13">
        <f t="shared" ca="1" si="19"/>
        <v>75.450440188956094</v>
      </c>
      <c r="AI19" s="13">
        <f t="shared" ca="1" si="19"/>
        <v>188.14248990921797</v>
      </c>
      <c r="AJ19" s="13">
        <f t="shared" ca="1" si="19"/>
        <v>174.3607078901494</v>
      </c>
      <c r="AK19" s="13">
        <f t="shared" ca="1" si="19"/>
        <v>48.848468143085285</v>
      </c>
      <c r="AL19" s="13">
        <f t="shared" ca="1" si="19"/>
        <v>82.134457961887648</v>
      </c>
      <c r="AM19" s="13">
        <f t="shared" ca="1" si="19"/>
        <v>211.56059273570705</v>
      </c>
      <c r="AN19" s="13">
        <f t="shared" ca="1" si="19"/>
        <v>193.31784465107489</v>
      </c>
      <c r="AO19" s="13">
        <f t="shared" ca="1" si="19"/>
        <v>54.034152755045312</v>
      </c>
      <c r="AP19" s="13">
        <f t="shared" ca="1" si="19"/>
        <v>103.15313964623711</v>
      </c>
      <c r="AQ19" s="13">
        <f t="shared" ca="1" si="19"/>
        <v>249.72514822926044</v>
      </c>
      <c r="AR19" s="13">
        <f t="shared" ca="1" si="19"/>
        <v>229.09227594783886</v>
      </c>
      <c r="AS19" s="13">
        <f t="shared" ca="1" si="19"/>
        <v>73.649865803903225</v>
      </c>
      <c r="AT19" s="13">
        <f t="shared" ca="1" si="19"/>
        <v>122.30781252964601</v>
      </c>
      <c r="AU19" s="13">
        <f t="shared" ca="1" si="19"/>
        <v>286.4149032798054</v>
      </c>
      <c r="AV19" s="13">
        <f t="shared" ca="1" si="19"/>
        <v>263.98640428245307</v>
      </c>
      <c r="AW19" s="13">
        <f t="shared" ca="1" si="19"/>
        <v>89.798436233508255</v>
      </c>
      <c r="AX19" s="13">
        <f t="shared" ca="1" si="19"/>
        <v>142.65807574852113</v>
      </c>
      <c r="AY19" s="13">
        <f t="shared" ca="1" si="19"/>
        <v>325.4940141974717</v>
      </c>
      <c r="AZ19" s="13">
        <f t="shared" ca="1" si="19"/>
        <v>301.14697167024667</v>
      </c>
      <c r="BA19" s="13">
        <f t="shared" ca="1" si="19"/>
        <v>106.99131378485795</v>
      </c>
      <c r="BB19" s="83" t="s">
        <v>75</v>
      </c>
    </row>
    <row r="20" spans="1:54" x14ac:dyDescent="0.2">
      <c r="B20" s="1" t="s">
        <v>28</v>
      </c>
      <c r="C20" s="45" t="s">
        <v>187</v>
      </c>
      <c r="F20" s="11">
        <f t="shared" si="11"/>
        <v>-11.7</v>
      </c>
      <c r="G20" s="11">
        <f t="shared" si="11"/>
        <v>-40.473999999999997</v>
      </c>
      <c r="H20" s="11">
        <f t="shared" si="11"/>
        <v>-68.290999999999997</v>
      </c>
      <c r="I20" s="11">
        <f t="shared" ca="1" si="14"/>
        <v>-81.843217845277394</v>
      </c>
      <c r="J20" s="11">
        <f t="shared" ca="1" si="14"/>
        <v>-121.70052653285219</v>
      </c>
      <c r="K20" s="11">
        <f t="shared" ca="1" si="14"/>
        <v>-135.26176202592873</v>
      </c>
      <c r="L20" s="11">
        <f t="shared" ca="1" si="14"/>
        <v>-163.90510740680992</v>
      </c>
      <c r="M20" s="11">
        <f t="shared" ca="1" si="14"/>
        <v>-190.62688908135317</v>
      </c>
      <c r="N20" s="11">
        <f t="shared" ca="1" si="14"/>
        <v>-219.07259385027436</v>
      </c>
      <c r="O20" s="11"/>
      <c r="P20" s="11"/>
      <c r="R20" s="12">
        <v>-5.6239999999999997</v>
      </c>
      <c r="S20" s="12">
        <v>-10.238</v>
      </c>
      <c r="T20" s="12">
        <v>-8.5710617999999972</v>
      </c>
      <c r="U20" s="12">
        <v>12.733061799999998</v>
      </c>
      <c r="V20" s="12">
        <v>-4.3550000000000004</v>
      </c>
      <c r="W20" s="12">
        <v>-4.3539999999999992</v>
      </c>
      <c r="X20" s="12">
        <v>-10.379000000000001</v>
      </c>
      <c r="Y20" s="12">
        <v>-21.385999999999996</v>
      </c>
      <c r="Z20" s="12">
        <v>-13.977</v>
      </c>
      <c r="AA20" s="12">
        <v>-16.091999999999999</v>
      </c>
      <c r="AB20" s="12">
        <v>-9.2600000000000016</v>
      </c>
      <c r="AC20" s="12">
        <v>-28.961999999999996</v>
      </c>
      <c r="AD20" s="23">
        <f ca="1">-AD22*AD19</f>
        <v>-9.5265120189497168</v>
      </c>
      <c r="AE20" s="23">
        <f t="shared" ref="AE20:BA20" ca="1" si="20">-AE22*AE19</f>
        <v>-34.166772374850979</v>
      </c>
      <c r="AF20" s="23">
        <f t="shared" ca="1" si="20"/>
        <v>-33.205539503072167</v>
      </c>
      <c r="AG20" s="23">
        <f t="shared" ca="1" si="20"/>
        <v>-4.9443939484045316</v>
      </c>
      <c r="AH20" s="23">
        <f t="shared" ca="1" si="20"/>
        <v>-18.862610047239023</v>
      </c>
      <c r="AI20" s="23">
        <f t="shared" ca="1" si="20"/>
        <v>-47.035622477304493</v>
      </c>
      <c r="AJ20" s="23">
        <f t="shared" ca="1" si="20"/>
        <v>-43.59017697253735</v>
      </c>
      <c r="AK20" s="23">
        <f t="shared" ca="1" si="20"/>
        <v>-12.212117035771321</v>
      </c>
      <c r="AL20" s="23">
        <f t="shared" ca="1" si="20"/>
        <v>-20.533614490471912</v>
      </c>
      <c r="AM20" s="23">
        <f t="shared" ca="1" si="20"/>
        <v>-52.890148183926762</v>
      </c>
      <c r="AN20" s="23">
        <f t="shared" ca="1" si="20"/>
        <v>-48.329461162768723</v>
      </c>
      <c r="AO20" s="23">
        <f t="shared" ca="1" si="20"/>
        <v>-13.508538188761328</v>
      </c>
      <c r="AP20" s="23">
        <f t="shared" ca="1" si="20"/>
        <v>-25.788284911559277</v>
      </c>
      <c r="AQ20" s="23">
        <f t="shared" ca="1" si="20"/>
        <v>-62.43128705731511</v>
      </c>
      <c r="AR20" s="23">
        <f t="shared" ca="1" si="20"/>
        <v>-57.273068986959714</v>
      </c>
      <c r="AS20" s="23">
        <f t="shared" ca="1" si="20"/>
        <v>-18.412466450975806</v>
      </c>
      <c r="AT20" s="23">
        <f t="shared" ca="1" si="20"/>
        <v>-30.576953132411504</v>
      </c>
      <c r="AU20" s="23">
        <f t="shared" ca="1" si="20"/>
        <v>-71.60372581995135</v>
      </c>
      <c r="AV20" s="23">
        <f t="shared" ca="1" si="20"/>
        <v>-65.996601070613266</v>
      </c>
      <c r="AW20" s="23">
        <f t="shared" ca="1" si="20"/>
        <v>-22.449609058377064</v>
      </c>
      <c r="AX20" s="23">
        <f t="shared" ca="1" si="20"/>
        <v>-35.664518937130282</v>
      </c>
      <c r="AY20" s="23">
        <f t="shared" ca="1" si="20"/>
        <v>-81.373503549367925</v>
      </c>
      <c r="AZ20" s="23">
        <f t="shared" ca="1" si="20"/>
        <v>-75.286742917561668</v>
      </c>
      <c r="BA20" s="23">
        <f t="shared" ca="1" si="20"/>
        <v>-26.747828446214488</v>
      </c>
      <c r="BB20" s="8" t="s">
        <v>75</v>
      </c>
    </row>
    <row r="21" spans="1:54" x14ac:dyDescent="0.2">
      <c r="B21" s="1" t="s">
        <v>29</v>
      </c>
      <c r="C21" s="45" t="s">
        <v>187</v>
      </c>
      <c r="F21" s="11">
        <f t="shared" si="11"/>
        <v>-8.92</v>
      </c>
      <c r="G21" s="11">
        <f t="shared" si="11"/>
        <v>4.6070000000000002</v>
      </c>
      <c r="H21" s="11">
        <f t="shared" si="11"/>
        <v>11.111000000000001</v>
      </c>
      <c r="I21" s="11">
        <f t="shared" si="14"/>
        <v>0</v>
      </c>
      <c r="J21" s="11">
        <f t="shared" si="14"/>
        <v>0</v>
      </c>
      <c r="K21" s="11">
        <f t="shared" si="14"/>
        <v>0</v>
      </c>
      <c r="L21" s="11">
        <f t="shared" si="14"/>
        <v>0</v>
      </c>
      <c r="M21" s="11">
        <f t="shared" si="14"/>
        <v>0</v>
      </c>
      <c r="N21" s="11">
        <f t="shared" si="14"/>
        <v>0</v>
      </c>
      <c r="O21" s="11"/>
      <c r="P21" s="11"/>
      <c r="R21" s="12">
        <v>42.756</v>
      </c>
      <c r="S21" s="12">
        <v>-56.826000000000001</v>
      </c>
      <c r="T21" s="12">
        <v>4.3801850999999985</v>
      </c>
      <c r="U21" s="12">
        <v>0.76981490000000186</v>
      </c>
      <c r="V21" s="12">
        <v>1.839</v>
      </c>
      <c r="W21" s="12">
        <v>-3.9859999999999998</v>
      </c>
      <c r="X21" s="12">
        <v>2.1549999999999998</v>
      </c>
      <c r="Y21" s="12">
        <v>4.5990000000000002</v>
      </c>
      <c r="Z21" s="12">
        <v>11.097</v>
      </c>
      <c r="AA21" s="12">
        <v>-1.9849999999999994</v>
      </c>
      <c r="AB21" s="12">
        <v>-3.1740000000000004</v>
      </c>
      <c r="AC21" s="12">
        <v>5.1730000000000009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8" t="s">
        <v>75</v>
      </c>
    </row>
    <row r="22" spans="1:54" s="25" customFormat="1" x14ac:dyDescent="0.2">
      <c r="B22" s="25" t="s">
        <v>555</v>
      </c>
      <c r="C22" s="116" t="s">
        <v>177</v>
      </c>
      <c r="D22" s="86">
        <f ca="1">+TaxRate</f>
        <v>0.25</v>
      </c>
      <c r="F22" s="27"/>
      <c r="G22" s="30">
        <f t="shared" ref="G22:N22" si="21">-(G20+G21)/G19</f>
        <v>0.37964139040602879</v>
      </c>
      <c r="H22" s="30">
        <f t="shared" si="21"/>
        <v>-1.1822598986870694</v>
      </c>
      <c r="I22" s="30">
        <f t="shared" ca="1" si="21"/>
        <v>0.25</v>
      </c>
      <c r="J22" s="30">
        <f t="shared" ca="1" si="21"/>
        <v>0.25</v>
      </c>
      <c r="K22" s="30">
        <f t="shared" ca="1" si="21"/>
        <v>0.25</v>
      </c>
      <c r="L22" s="30">
        <f t="shared" ca="1" si="21"/>
        <v>0.25</v>
      </c>
      <c r="M22" s="30">
        <f t="shared" ca="1" si="21"/>
        <v>0.25</v>
      </c>
      <c r="N22" s="30">
        <f t="shared" ca="1" si="21"/>
        <v>0.25</v>
      </c>
      <c r="O22" s="27"/>
      <c r="P22" s="27"/>
      <c r="R22" s="28"/>
      <c r="S22" s="28"/>
      <c r="T22" s="28"/>
      <c r="U22" s="28"/>
      <c r="V22" s="30">
        <f t="shared" ref="V22:AB22" si="22">-(V20+V21)/V19</f>
        <v>-8.0768159170192675</v>
      </c>
      <c r="W22" s="30">
        <f t="shared" si="22"/>
        <v>0.13820024095034375</v>
      </c>
      <c r="X22" s="30">
        <f t="shared" si="22"/>
        <v>0.27066617729323467</v>
      </c>
      <c r="Y22" s="30">
        <f t="shared" si="22"/>
        <v>4.1388067061143641</v>
      </c>
      <c r="Z22" s="30">
        <f t="shared" si="22"/>
        <v>-2.3257691997092798E-2</v>
      </c>
      <c r="AA22" s="30">
        <f t="shared" si="22"/>
        <v>1.6941893158387931</v>
      </c>
      <c r="AB22" s="30">
        <f t="shared" si="22"/>
        <v>3.1792374882727459</v>
      </c>
      <c r="AC22" s="30">
        <f>-(AC20+AC21)/AC19</f>
        <v>0.39072663209274089</v>
      </c>
      <c r="AD22" s="157">
        <f ca="1">+$D22</f>
        <v>0.25</v>
      </c>
      <c r="AE22" s="207">
        <f t="shared" ref="AE22:BA22" ca="1" si="23">+$D22</f>
        <v>0.25</v>
      </c>
      <c r="AF22" s="207">
        <f t="shared" ca="1" si="23"/>
        <v>0.25</v>
      </c>
      <c r="AG22" s="207">
        <f t="shared" ca="1" si="23"/>
        <v>0.25</v>
      </c>
      <c r="AH22" s="207">
        <f t="shared" ca="1" si="23"/>
        <v>0.25</v>
      </c>
      <c r="AI22" s="207">
        <f t="shared" ca="1" si="23"/>
        <v>0.25</v>
      </c>
      <c r="AJ22" s="207">
        <f t="shared" ca="1" si="23"/>
        <v>0.25</v>
      </c>
      <c r="AK22" s="207">
        <f t="shared" ca="1" si="23"/>
        <v>0.25</v>
      </c>
      <c r="AL22" s="207">
        <f t="shared" ca="1" si="23"/>
        <v>0.25</v>
      </c>
      <c r="AM22" s="207">
        <f t="shared" ca="1" si="23"/>
        <v>0.25</v>
      </c>
      <c r="AN22" s="207">
        <f t="shared" ca="1" si="23"/>
        <v>0.25</v>
      </c>
      <c r="AO22" s="207">
        <f t="shared" ca="1" si="23"/>
        <v>0.25</v>
      </c>
      <c r="AP22" s="207">
        <f t="shared" ca="1" si="23"/>
        <v>0.25</v>
      </c>
      <c r="AQ22" s="207">
        <f t="shared" ca="1" si="23"/>
        <v>0.25</v>
      </c>
      <c r="AR22" s="207">
        <f t="shared" ca="1" si="23"/>
        <v>0.25</v>
      </c>
      <c r="AS22" s="207">
        <f t="shared" ca="1" si="23"/>
        <v>0.25</v>
      </c>
      <c r="AT22" s="207">
        <f t="shared" ca="1" si="23"/>
        <v>0.25</v>
      </c>
      <c r="AU22" s="207">
        <f t="shared" ca="1" si="23"/>
        <v>0.25</v>
      </c>
      <c r="AV22" s="207">
        <f t="shared" ca="1" si="23"/>
        <v>0.25</v>
      </c>
      <c r="AW22" s="207">
        <f t="shared" ca="1" si="23"/>
        <v>0.25</v>
      </c>
      <c r="AX22" s="207">
        <f t="shared" ca="1" si="23"/>
        <v>0.25</v>
      </c>
      <c r="AY22" s="207">
        <f t="shared" ca="1" si="23"/>
        <v>0.25</v>
      </c>
      <c r="AZ22" s="207">
        <f t="shared" ca="1" si="23"/>
        <v>0.25</v>
      </c>
      <c r="BA22" s="207">
        <f t="shared" ca="1" si="23"/>
        <v>0.25</v>
      </c>
      <c r="BB22" s="88" t="s">
        <v>75</v>
      </c>
    </row>
    <row r="23" spans="1:54" s="2" customFormat="1" x14ac:dyDescent="0.2">
      <c r="B23" s="18" t="s">
        <v>30</v>
      </c>
      <c r="C23" s="45" t="s">
        <v>187</v>
      </c>
      <c r="D23" s="18"/>
      <c r="E23" s="1"/>
      <c r="F23" s="13">
        <f t="shared" ref="F23:H24" si="24">+SUMIFS(23:23,$6:$6,F$3)</f>
        <v>162.11599999999999</v>
      </c>
      <c r="G23" s="13">
        <f t="shared" si="24"/>
        <v>58.609000000000066</v>
      </c>
      <c r="H23" s="13">
        <f t="shared" si="24"/>
        <v>-105.54499999999993</v>
      </c>
      <c r="I23" s="13">
        <f t="shared" ref="I23:N24" ca="1" si="25">+SUMIFS(23:23,$6:$6,I$3)</f>
        <v>245.52965353583218</v>
      </c>
      <c r="J23" s="13">
        <f t="shared" ca="1" si="25"/>
        <v>365.10157959855655</v>
      </c>
      <c r="K23" s="13">
        <f t="shared" ca="1" si="25"/>
        <v>405.78528607778622</v>
      </c>
      <c r="L23" s="13">
        <f t="shared" ca="1" si="25"/>
        <v>491.71532222042975</v>
      </c>
      <c r="M23" s="13">
        <f t="shared" ca="1" si="25"/>
        <v>571.88066724405951</v>
      </c>
      <c r="N23" s="13">
        <f t="shared" ca="1" si="25"/>
        <v>657.21778155082313</v>
      </c>
      <c r="O23" s="13"/>
      <c r="P23" s="13"/>
      <c r="R23" s="13">
        <f t="shared" ref="R23:AC23" si="26">+R19+R20+R21</f>
        <v>-81.224000000000018</v>
      </c>
      <c r="S23" s="13">
        <f t="shared" si="26"/>
        <v>193.70573633486586</v>
      </c>
      <c r="T23" s="13">
        <f t="shared" si="26"/>
        <v>12.35645028007387</v>
      </c>
      <c r="U23" s="13">
        <f t="shared" si="26"/>
        <v>37.277813385060256</v>
      </c>
      <c r="V23" s="13">
        <f t="shared" si="26"/>
        <v>-2.827508894823064</v>
      </c>
      <c r="W23" s="13">
        <f t="shared" si="26"/>
        <v>52.007217505913154</v>
      </c>
      <c r="X23" s="13">
        <f t="shared" si="26"/>
        <v>22.160291388909943</v>
      </c>
      <c r="Y23" s="13">
        <f t="shared" si="26"/>
        <v>-12.730999999999963</v>
      </c>
      <c r="Z23" s="13">
        <f t="shared" si="26"/>
        <v>-126.71</v>
      </c>
      <c r="AA23" s="13">
        <f t="shared" si="26"/>
        <v>-7.4069999999999538</v>
      </c>
      <c r="AB23" s="13">
        <f t="shared" si="26"/>
        <v>-8.5229993132424688</v>
      </c>
      <c r="AC23" s="13">
        <f t="shared" si="26"/>
        <v>37.094999313242511</v>
      </c>
      <c r="AD23" s="13">
        <f t="shared" ref="AD23:BA23" ca="1" si="27">+AD19+AD20+AD21</f>
        <v>28.57953605684915</v>
      </c>
      <c r="AE23" s="13">
        <f t="shared" ca="1" si="27"/>
        <v>102.50031712455294</v>
      </c>
      <c r="AF23" s="13">
        <f t="shared" ca="1" si="27"/>
        <v>99.616618509216494</v>
      </c>
      <c r="AG23" s="13">
        <f t="shared" ca="1" si="27"/>
        <v>14.833181845213595</v>
      </c>
      <c r="AH23" s="13">
        <f t="shared" ca="1" si="27"/>
        <v>56.58783014171707</v>
      </c>
      <c r="AI23" s="13">
        <f t="shared" ca="1" si="27"/>
        <v>141.10686743191349</v>
      </c>
      <c r="AJ23" s="13">
        <f t="shared" ca="1" si="27"/>
        <v>130.77053091761206</v>
      </c>
      <c r="AK23" s="13">
        <f t="shared" ca="1" si="27"/>
        <v>36.636351107313963</v>
      </c>
      <c r="AL23" s="13">
        <f t="shared" ca="1" si="27"/>
        <v>61.600843471415736</v>
      </c>
      <c r="AM23" s="13">
        <f t="shared" ca="1" si="27"/>
        <v>158.67044455178029</v>
      </c>
      <c r="AN23" s="13">
        <f t="shared" ca="1" si="27"/>
        <v>144.98838348830617</v>
      </c>
      <c r="AO23" s="13">
        <f t="shared" ca="1" si="27"/>
        <v>40.525614566283984</v>
      </c>
      <c r="AP23" s="13">
        <f t="shared" ca="1" si="27"/>
        <v>77.364854734677834</v>
      </c>
      <c r="AQ23" s="13">
        <f t="shared" ca="1" si="27"/>
        <v>187.29386117194534</v>
      </c>
      <c r="AR23" s="13">
        <f t="shared" ca="1" si="27"/>
        <v>171.81920696087914</v>
      </c>
      <c r="AS23" s="13">
        <f t="shared" ca="1" si="27"/>
        <v>55.237399352927419</v>
      </c>
      <c r="AT23" s="13">
        <f t="shared" ca="1" si="27"/>
        <v>91.730859397234511</v>
      </c>
      <c r="AU23" s="13">
        <f t="shared" ca="1" si="27"/>
        <v>214.81117745985404</v>
      </c>
      <c r="AV23" s="13">
        <f t="shared" ca="1" si="27"/>
        <v>197.98980321183979</v>
      </c>
      <c r="AW23" s="13">
        <f t="shared" ca="1" si="27"/>
        <v>67.348827175131191</v>
      </c>
      <c r="AX23" s="13">
        <f t="shared" ca="1" si="27"/>
        <v>106.99355681139085</v>
      </c>
      <c r="AY23" s="13">
        <f t="shared" ca="1" si="27"/>
        <v>244.12051064810379</v>
      </c>
      <c r="AZ23" s="13">
        <f t="shared" ca="1" si="27"/>
        <v>225.860228752685</v>
      </c>
      <c r="BA23" s="13">
        <f t="shared" ca="1" si="27"/>
        <v>80.243485338643467</v>
      </c>
      <c r="BB23" s="83" t="s">
        <v>75</v>
      </c>
    </row>
    <row r="24" spans="1:54" x14ac:dyDescent="0.2">
      <c r="B24" s="1" t="s">
        <v>32</v>
      </c>
      <c r="C24" s="45" t="s">
        <v>338</v>
      </c>
      <c r="F24" s="15">
        <f t="shared" si="24"/>
        <v>0.21655582478243204</v>
      </c>
      <c r="G24" s="15">
        <f t="shared" si="24"/>
        <v>7.8290362053551651E-2</v>
      </c>
      <c r="H24" s="15">
        <f t="shared" si="24"/>
        <v>-0.14098783911928361</v>
      </c>
      <c r="I24" s="15">
        <f t="shared" ca="1" si="25"/>
        <v>0.3279804376495653</v>
      </c>
      <c r="J24" s="15">
        <f t="shared" ca="1" si="25"/>
        <v>0.48770555466045434</v>
      </c>
      <c r="K24" s="15">
        <f t="shared" ca="1" si="25"/>
        <v>0.54205116898486361</v>
      </c>
      <c r="L24" s="15">
        <f t="shared" ca="1" si="25"/>
        <v>0.65683718548202852</v>
      </c>
      <c r="M24" s="15">
        <f t="shared" ca="1" si="25"/>
        <v>0.76392268235192651</v>
      </c>
      <c r="N24" s="15">
        <f t="shared" ca="1" si="25"/>
        <v>0.87791666920858391</v>
      </c>
      <c r="O24" s="15"/>
      <c r="P24" s="15"/>
      <c r="R24" s="15">
        <f t="shared" ref="R24:BA24" si="28">+R23/R177*1000</f>
        <v>-0.10849965649367287</v>
      </c>
      <c r="S24" s="15">
        <f t="shared" si="28"/>
        <v>0.25875364243557208</v>
      </c>
      <c r="T24" s="15">
        <f t="shared" si="28"/>
        <v>1.650584323437854E-2</v>
      </c>
      <c r="U24" s="15">
        <f t="shared" si="28"/>
        <v>4.979599560615431E-2</v>
      </c>
      <c r="V24" s="15">
        <f t="shared" si="28"/>
        <v>-3.7770085666934275E-3</v>
      </c>
      <c r="W24" s="15">
        <f t="shared" si="28"/>
        <v>6.9471649199538396E-2</v>
      </c>
      <c r="X24" s="15">
        <f t="shared" si="28"/>
        <v>2.9601891109726497E-2</v>
      </c>
      <c r="Y24" s="15">
        <f t="shared" si="28"/>
        <v>-1.7006169689019811E-2</v>
      </c>
      <c r="Z24" s="15">
        <f t="shared" si="28"/>
        <v>-0.16926021218252346</v>
      </c>
      <c r="AA24" s="15">
        <f t="shared" si="28"/>
        <v>-9.8943287162492587E-3</v>
      </c>
      <c r="AB24" s="15">
        <f t="shared" si="28"/>
        <v>-1.1385089355148939E-2</v>
      </c>
      <c r="AC24" s="15">
        <f t="shared" si="28"/>
        <v>4.9551791134638069E-2</v>
      </c>
      <c r="AD24" s="15">
        <f t="shared" ca="1" si="28"/>
        <v>3.8176768503357016E-2</v>
      </c>
      <c r="AE24" s="15">
        <f t="shared" ca="1" si="28"/>
        <v>0.13692072784529849</v>
      </c>
      <c r="AF24" s="15">
        <f t="shared" ca="1" si="28"/>
        <v>0.13306866060907172</v>
      </c>
      <c r="AG24" s="15">
        <f t="shared" ca="1" si="28"/>
        <v>1.9814280691838122E-2</v>
      </c>
      <c r="AH24" s="15">
        <f t="shared" ca="1" si="28"/>
        <v>7.5590467498505468E-2</v>
      </c>
      <c r="AI24" s="15">
        <f t="shared" ca="1" si="28"/>
        <v>0.18849166065769779</v>
      </c>
      <c r="AJ24" s="15">
        <f t="shared" ca="1" si="28"/>
        <v>0.17468430124170362</v>
      </c>
      <c r="AK24" s="15">
        <f t="shared" ca="1" si="28"/>
        <v>4.893912526254747E-2</v>
      </c>
      <c r="AL24" s="15">
        <f t="shared" ca="1" si="28"/>
        <v>8.2286890037047131E-2</v>
      </c>
      <c r="AM24" s="15">
        <f t="shared" ca="1" si="28"/>
        <v>0.21195322478044085</v>
      </c>
      <c r="AN24" s="15">
        <f t="shared" ca="1" si="28"/>
        <v>0.19367662026068808</v>
      </c>
      <c r="AO24" s="15">
        <f t="shared" ca="1" si="28"/>
        <v>5.4134433906687637E-2</v>
      </c>
      <c r="AP24" s="15">
        <f t="shared" ca="1" si="28"/>
        <v>0.1033445799689186</v>
      </c>
      <c r="AQ24" s="15">
        <f t="shared" ca="1" si="28"/>
        <v>0.2501886092845676</v>
      </c>
      <c r="AR24" s="15">
        <f t="shared" ca="1" si="28"/>
        <v>0.22951744477335109</v>
      </c>
      <c r="AS24" s="15">
        <f t="shared" ca="1" si="28"/>
        <v>7.3786551455191224E-2</v>
      </c>
      <c r="AT24" s="15">
        <f t="shared" ca="1" si="28"/>
        <v>0.12253480171463293</v>
      </c>
      <c r="AU24" s="15">
        <f t="shared" ca="1" si="28"/>
        <v>0.2869464562862647</v>
      </c>
      <c r="AV24" s="15">
        <f t="shared" ca="1" si="28"/>
        <v>0.26447633258315889</v>
      </c>
      <c r="AW24" s="15">
        <f t="shared" ca="1" si="28"/>
        <v>8.9965091767870001E-2</v>
      </c>
      <c r="AX24" s="15">
        <f t="shared" ca="1" si="28"/>
        <v>0.1429228326734977</v>
      </c>
      <c r="AY24" s="15">
        <f t="shared" ca="1" si="28"/>
        <v>0.32609809352382624</v>
      </c>
      <c r="AZ24" s="15">
        <f t="shared" ca="1" si="28"/>
        <v>0.30170586569546798</v>
      </c>
      <c r="BA24" s="15">
        <f t="shared" ca="1" si="28"/>
        <v>0.10718987731579201</v>
      </c>
      <c r="BB24" s="8" t="s">
        <v>75</v>
      </c>
    </row>
    <row r="25" spans="1:54" x14ac:dyDescent="0.2">
      <c r="B25" s="1" t="s">
        <v>339</v>
      </c>
      <c r="C25" s="45" t="s">
        <v>346</v>
      </c>
      <c r="F25" s="21">
        <f>+SUMIFS(25:25,$3:$3,"4Q"&amp;RIGHT(F$3,2))</f>
        <v>748610.66500000004</v>
      </c>
      <c r="G25" s="21">
        <f>+SUMIFS(25:25,$3:$3,"4Q"&amp;RIGHT(G$3,2))</f>
        <v>748610.66500000004</v>
      </c>
      <c r="H25" s="21">
        <f>+SUMIFS(25:25,$3:$3,"4Q"&amp;RIGHT(H$3,2))</f>
        <v>748610.66500000004</v>
      </c>
      <c r="I25" s="21">
        <f t="shared" ref="I25:N25" ca="1" si="29">+SUMIFS(25:25,$3:$3,"4Q"&amp;RIGHT(I$3,2))</f>
        <v>748610.66500000004</v>
      </c>
      <c r="J25" s="21">
        <f t="shared" ca="1" si="29"/>
        <v>748610.66500000004</v>
      </c>
      <c r="K25" s="21">
        <f t="shared" ca="1" si="29"/>
        <v>748610.66500000004</v>
      </c>
      <c r="L25" s="21">
        <f t="shared" ca="1" si="29"/>
        <v>748610.66500000004</v>
      </c>
      <c r="M25" s="21">
        <f t="shared" ca="1" si="29"/>
        <v>748610.66500000004</v>
      </c>
      <c r="N25" s="21">
        <f t="shared" ca="1" si="29"/>
        <v>748610.66500000004</v>
      </c>
      <c r="O25" s="21"/>
      <c r="P25" s="21"/>
      <c r="Q25" s="21"/>
      <c r="R25" s="21">
        <f>+R177</f>
        <v>748610.66500000004</v>
      </c>
      <c r="S25" s="21">
        <f t="shared" ref="S25:BA25" si="30">+S177</f>
        <v>748610.66500000004</v>
      </c>
      <c r="T25" s="21">
        <f t="shared" si="30"/>
        <v>748610.66500000004</v>
      </c>
      <c r="U25" s="21">
        <f t="shared" si="30"/>
        <v>748610.66500000004</v>
      </c>
      <c r="V25" s="21">
        <f t="shared" si="30"/>
        <v>748610.66500000004</v>
      </c>
      <c r="W25" s="21">
        <f t="shared" si="30"/>
        <v>748610.66500000004</v>
      </c>
      <c r="X25" s="21">
        <f t="shared" si="30"/>
        <v>748610.66500000004</v>
      </c>
      <c r="Y25" s="21">
        <f t="shared" si="30"/>
        <v>748610.66500000004</v>
      </c>
      <c r="Z25" s="21">
        <f t="shared" si="30"/>
        <v>748610.66500000004</v>
      </c>
      <c r="AA25" s="21">
        <f t="shared" si="30"/>
        <v>748610.66500000004</v>
      </c>
      <c r="AB25" s="21">
        <f t="shared" si="30"/>
        <v>748610.66500000004</v>
      </c>
      <c r="AC25" s="21">
        <f t="shared" si="30"/>
        <v>748610.66500000004</v>
      </c>
      <c r="AD25" s="21">
        <f t="shared" si="30"/>
        <v>748610.66500000004</v>
      </c>
      <c r="AE25" s="21">
        <f t="shared" ca="1" si="30"/>
        <v>748610.66500000004</v>
      </c>
      <c r="AF25" s="21">
        <f t="shared" ca="1" si="30"/>
        <v>748610.66500000004</v>
      </c>
      <c r="AG25" s="21">
        <f t="shared" ca="1" si="30"/>
        <v>748610.66500000004</v>
      </c>
      <c r="AH25" s="21">
        <f t="shared" ca="1" si="30"/>
        <v>748610.66500000004</v>
      </c>
      <c r="AI25" s="21">
        <f t="shared" ca="1" si="30"/>
        <v>748610.66500000004</v>
      </c>
      <c r="AJ25" s="21">
        <f t="shared" ca="1" si="30"/>
        <v>748610.66500000004</v>
      </c>
      <c r="AK25" s="21">
        <f t="shared" ca="1" si="30"/>
        <v>748610.66500000004</v>
      </c>
      <c r="AL25" s="21">
        <f t="shared" ca="1" si="30"/>
        <v>748610.66500000004</v>
      </c>
      <c r="AM25" s="21">
        <f t="shared" ca="1" si="30"/>
        <v>748610.66500000004</v>
      </c>
      <c r="AN25" s="21">
        <f t="shared" ca="1" si="30"/>
        <v>748610.66500000004</v>
      </c>
      <c r="AO25" s="21">
        <f t="shared" ca="1" si="30"/>
        <v>748610.66500000004</v>
      </c>
      <c r="AP25" s="21">
        <f t="shared" ca="1" si="30"/>
        <v>748610.66500000004</v>
      </c>
      <c r="AQ25" s="21">
        <f t="shared" ca="1" si="30"/>
        <v>748610.66500000004</v>
      </c>
      <c r="AR25" s="21">
        <f t="shared" ca="1" si="30"/>
        <v>748610.66500000004</v>
      </c>
      <c r="AS25" s="21">
        <f t="shared" ca="1" si="30"/>
        <v>748610.66500000004</v>
      </c>
      <c r="AT25" s="21">
        <f t="shared" ca="1" si="30"/>
        <v>748610.66500000004</v>
      </c>
      <c r="AU25" s="21">
        <f t="shared" ca="1" si="30"/>
        <v>748610.66500000004</v>
      </c>
      <c r="AV25" s="21">
        <f t="shared" ca="1" si="30"/>
        <v>748610.66500000004</v>
      </c>
      <c r="AW25" s="21">
        <f t="shared" ca="1" si="30"/>
        <v>748610.66500000004</v>
      </c>
      <c r="AX25" s="21">
        <f t="shared" ca="1" si="30"/>
        <v>748610.66500000004</v>
      </c>
      <c r="AY25" s="21">
        <f t="shared" ca="1" si="30"/>
        <v>748610.66500000004</v>
      </c>
      <c r="AZ25" s="21">
        <f t="shared" ca="1" si="30"/>
        <v>748610.66500000004</v>
      </c>
      <c r="BA25" s="21">
        <f t="shared" ca="1" si="30"/>
        <v>748610.66500000004</v>
      </c>
      <c r="BB25" s="8" t="s">
        <v>75</v>
      </c>
    </row>
    <row r="26" spans="1:54" x14ac:dyDescent="0.2">
      <c r="C26" s="45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8" t="s">
        <v>75</v>
      </c>
    </row>
    <row r="27" spans="1:54" s="2" customFormat="1" x14ac:dyDescent="0.2">
      <c r="B27" s="2" t="s">
        <v>427</v>
      </c>
      <c r="C27" s="81" t="s">
        <v>187</v>
      </c>
      <c r="F27" s="40"/>
      <c r="G27" s="13">
        <f>+SUMIFS(27:27,$6:$6,G$3)</f>
        <v>461.01402214692433</v>
      </c>
      <c r="H27" s="13">
        <f>+SUMIFS(27:27,$6:$6,H$3)</f>
        <v>637.40339963671863</v>
      </c>
      <c r="I27" s="13">
        <f t="shared" ref="I27:N27" ca="1" si="31">+SUMIFS(27:27,$6:$6,I$3)</f>
        <v>782.97671964955566</v>
      </c>
      <c r="J27" s="13">
        <f t="shared" ca="1" si="31"/>
        <v>929.0189148131301</v>
      </c>
      <c r="K27" s="13">
        <f t="shared" ca="1" si="31"/>
        <v>991.62370796281516</v>
      </c>
      <c r="L27" s="13">
        <f t="shared" ca="1" si="31"/>
        <v>1113.9571052678884</v>
      </c>
      <c r="M27" s="13">
        <f t="shared" ca="1" si="31"/>
        <v>1228.7674550929478</v>
      </c>
      <c r="N27" s="13">
        <f t="shared" ca="1" si="31"/>
        <v>1350.6187849424061</v>
      </c>
      <c r="O27" s="40"/>
      <c r="P27" s="40"/>
      <c r="Q27" s="40"/>
      <c r="R27" s="40"/>
      <c r="S27" s="40"/>
      <c r="T27" s="40"/>
      <c r="U27" s="40"/>
      <c r="V27" s="148">
        <f>+SUMIFS(Segments!$59:$59,Segments!$3:$3,Financials!V$3)</f>
        <v>81.898916001837236</v>
      </c>
      <c r="W27" s="148">
        <f>+SUMIFS(Segments!$59:$59,Segments!$3:$3,Financials!W$3)</f>
        <v>134.77493962030681</v>
      </c>
      <c r="X27" s="148">
        <f>+SUMIFS(Segments!$59:$59,Segments!$3:$3,Financials!X$3)</f>
        <v>137.93201842366273</v>
      </c>
      <c r="Y27" s="148">
        <f>+SUMIFS(Segments!$59:$59,Segments!$3:$3,Financials!Y$3)</f>
        <v>106.40814810111753</v>
      </c>
      <c r="Z27" s="148">
        <f>+SUMIFS(Segments!$59:$59,Segments!$3:$3,Financials!Z$3)</f>
        <v>104.34446649966409</v>
      </c>
      <c r="AA27" s="148">
        <f>+SUMIFS(Segments!$59:$59,Segments!$3:$3,Financials!AA$3)</f>
        <v>187.26656355540047</v>
      </c>
      <c r="AB27" s="148">
        <f>+SUMIFS(Segments!$59:$59,Segments!$3:$3,Financials!AB$3)</f>
        <v>202.0025665259779</v>
      </c>
      <c r="AC27" s="148">
        <f>+SUMIFS(Segments!$59:$59,Segments!$3:$3,Financials!AC$3)</f>
        <v>143.7898030556762</v>
      </c>
      <c r="AD27" s="148">
        <f ca="1">+SUMIFS(Segments!$59:$59,Segments!$3:$3,Financials!AD$3)</f>
        <v>161.61489824026162</v>
      </c>
      <c r="AE27" s="148">
        <f ca="1">+SUMIFS(Segments!$59:$59,Segments!$3:$3,Financials!AE$3)</f>
        <v>246.52241548370301</v>
      </c>
      <c r="AF27" s="148">
        <f ca="1">+SUMIFS(Segments!$59:$59,Segments!$3:$3,Financials!AF$3)</f>
        <v>243.59166941154521</v>
      </c>
      <c r="AG27" s="148">
        <f ca="1">+SUMIFS(Segments!$59:$59,Segments!$3:$3,Financials!AG$3)</f>
        <v>131.24773651404573</v>
      </c>
      <c r="AH27" s="148">
        <f ca="1">+SUMIFS(Segments!$59:$59,Segments!$3:$3,Financials!AH$3)</f>
        <v>186.0192275751044</v>
      </c>
      <c r="AI27" s="148">
        <f ca="1">+SUMIFS(Segments!$59:$59,Segments!$3:$3,Financials!AI$3)</f>
        <v>297.7925784060655</v>
      </c>
      <c r="AJ27" s="148">
        <f ca="1">+SUMIFS(Segments!$59:$59,Segments!$3:$3,Financials!AJ$3)</f>
        <v>284.90982522054344</v>
      </c>
      <c r="AK27" s="148">
        <f ca="1">+SUMIFS(Segments!$59:$59,Segments!$3:$3,Financials!AK$3)</f>
        <v>160.29728361141676</v>
      </c>
      <c r="AL27" s="148">
        <f ca="1">+SUMIFS(Segments!$59:$59,Segments!$3:$3,Financials!AL$3)</f>
        <v>194.06073869807096</v>
      </c>
      <c r="AM27" s="148">
        <f ca="1">+SUMIFS(Segments!$59:$59,Segments!$3:$3,Financials!AM$3)</f>
        <v>323.96501222235059</v>
      </c>
      <c r="AN27" s="148">
        <f ca="1">+SUMIFS(Segments!$59:$59,Segments!$3:$3,Financials!AN$3)</f>
        <v>306.20107846618549</v>
      </c>
      <c r="AO27" s="148">
        <f ca="1">+SUMIFS(Segments!$59:$59,Segments!$3:$3,Financials!AO$3)</f>
        <v>167.39687857620805</v>
      </c>
      <c r="AP27" s="148">
        <f ca="1">+SUMIFS(Segments!$59:$59,Segments!$3:$3,Financials!AP$3)</f>
        <v>217.00375975731865</v>
      </c>
      <c r="AQ27" s="148">
        <f ca="1">+SUMIFS(Segments!$59:$59,Segments!$3:$3,Financials!AQ$3)</f>
        <v>364.06434451950042</v>
      </c>
      <c r="AR27" s="148">
        <f ca="1">+SUMIFS(Segments!$59:$59,Segments!$3:$3,Financials!AR$3)</f>
        <v>343.92073241853211</v>
      </c>
      <c r="AS27" s="148">
        <f ca="1">+SUMIFS(Segments!$59:$59,Segments!$3:$3,Financials!AS$3)</f>
        <v>188.96826857253714</v>
      </c>
      <c r="AT27" s="148">
        <f ca="1">+SUMIFS(Segments!$59:$59,Segments!$3:$3,Financials!AT$3)</f>
        <v>238.12415264066172</v>
      </c>
      <c r="AU27" s="148">
        <f ca="1">+SUMIFS(Segments!$59:$59,Segments!$3:$3,Financials!AU$3)</f>
        <v>402.72987109544317</v>
      </c>
      <c r="AV27" s="148">
        <f ca="1">+SUMIFS(Segments!$59:$59,Segments!$3:$3,Financials!AV$3)</f>
        <v>380.80069229349061</v>
      </c>
      <c r="AW27" s="148">
        <f ca="1">+SUMIFS(Segments!$59:$59,Segments!$3:$3,Financials!AW$3)</f>
        <v>207.11273906335231</v>
      </c>
      <c r="AX27" s="148">
        <f ca="1">+SUMIFS(Segments!$59:$59,Segments!$3:$3,Financials!AX$3)</f>
        <v>260.4787984268462</v>
      </c>
      <c r="AY27" s="148">
        <f ca="1">+SUMIFS(Segments!$59:$59,Segments!$3:$3,Financials!AY$3)</f>
        <v>443.82185562516997</v>
      </c>
      <c r="AZ27" s="148">
        <f ca="1">+SUMIFS(Segments!$59:$59,Segments!$3:$3,Financials!AZ$3)</f>
        <v>419.98263289304185</v>
      </c>
      <c r="BA27" s="148">
        <f ca="1">+SUMIFS(Segments!$59:$59,Segments!$3:$3,Financials!BA$3)</f>
        <v>226.33549799734803</v>
      </c>
      <c r="BB27" s="83" t="s">
        <v>75</v>
      </c>
    </row>
    <row r="28" spans="1:54" x14ac:dyDescent="0.2">
      <c r="C28" s="45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8" t="s">
        <v>75</v>
      </c>
    </row>
    <row r="29" spans="1:54" x14ac:dyDescent="0.2">
      <c r="B29" s="1" t="s">
        <v>231</v>
      </c>
      <c r="C29" s="45" t="s">
        <v>187</v>
      </c>
      <c r="F29" s="21"/>
      <c r="G29" s="11">
        <f t="shared" ref="G29:N29" ca="1" si="32">+SUMIFS(29:29,$6:$6,G$3)</f>
        <v>734.35060769278289</v>
      </c>
      <c r="H29" s="11">
        <f t="shared" ca="1" si="32"/>
        <v>860.45038139349322</v>
      </c>
      <c r="I29" s="11">
        <f t="shared" ca="1" si="32"/>
        <v>730.07216145548318</v>
      </c>
      <c r="J29" s="11">
        <f t="shared" ca="1" si="32"/>
        <v>782.16368863794264</v>
      </c>
      <c r="K29" s="11">
        <f t="shared" ca="1" si="32"/>
        <v>805.62859929708088</v>
      </c>
      <c r="L29" s="11">
        <f t="shared" ca="1" si="32"/>
        <v>776.41437241397921</v>
      </c>
      <c r="M29" s="11">
        <f t="shared" ca="1" si="32"/>
        <v>799.70680358639834</v>
      </c>
      <c r="N29" s="11">
        <f t="shared" ca="1" si="32"/>
        <v>823.69800769399035</v>
      </c>
      <c r="O29" s="21"/>
      <c r="P29" s="21"/>
      <c r="Q29" s="21"/>
      <c r="R29" s="21"/>
      <c r="S29" s="21"/>
      <c r="T29" s="21"/>
      <c r="U29" s="21"/>
      <c r="V29" s="46">
        <f ca="1">+SUMIFS(North!$48:$48,North!$3:$3,V$3)+SUMIFS(South!$59:$59,South!$3:$3,V$3)+SUMIFS('Costal Nav'!$44:$44,'Costal Nav'!$3:$3,V$3)+SUMIFS(Santos!$36:$36,Santos!$3:$3,V$3)</f>
        <v>166.43224944411006</v>
      </c>
      <c r="W29" s="46">
        <f ca="1">+SUMIFS(North!$48:$48,North!$3:$3,W$3)+SUMIFS(South!$59:$59,South!$3:$3,W$3)+SUMIFS('Costal Nav'!$44:$44,'Costal Nav'!$3:$3,W$3)+SUMIFS(Santos!$36:$36,Santos!$3:$3,W$3)</f>
        <v>188.50852246321469</v>
      </c>
      <c r="X29" s="46">
        <f ca="1">+SUMIFS(North!$48:$48,North!$3:$3,X$3)+SUMIFS(South!$59:$59,South!$3:$3,X$3)+SUMIFS('Costal Nav'!$44:$44,'Costal Nav'!$3:$3,X$3)+SUMIFS(Santos!$36:$36,Santos!$3:$3,X$3)</f>
        <v>201.0423123536381</v>
      </c>
      <c r="Y29" s="46">
        <f ca="1">+SUMIFS(North!$48:$48,North!$3:$3,Y$3)+SUMIFS(South!$59:$59,South!$3:$3,Y$3)+SUMIFS('Costal Nav'!$44:$44,'Costal Nav'!$3:$3,Y$3)+SUMIFS(Santos!$36:$36,Santos!$3:$3,Y$3)</f>
        <v>178.36752343182002</v>
      </c>
      <c r="Z29" s="46">
        <f ca="1">+SUMIFS(North!$48:$48,North!$3:$3,Z$3)+SUMIFS(South!$59:$59,South!$3:$3,Z$3)+SUMIFS('Costal Nav'!$44:$44,'Costal Nav'!$3:$3,Z$3)+SUMIFS(Santos!$36:$36,Santos!$3:$3,Z$3)</f>
        <v>191.59024187247618</v>
      </c>
      <c r="AA29" s="46">
        <f ca="1">+SUMIFS(North!$48:$48,North!$3:$3,AA$3)+SUMIFS(South!$59:$59,South!$3:$3,AA$3)+SUMIFS('Costal Nav'!$44:$44,'Costal Nav'!$3:$3,AA$3)+SUMIFS(Santos!$36:$36,Santos!$3:$3,AA$3)</f>
        <v>222.47958106092787</v>
      </c>
      <c r="AB29" s="46">
        <f ca="1">+SUMIFS(North!$48:$48,North!$3:$3,AB$3)+SUMIFS(South!$59:$59,South!$3:$3,AB$3)+SUMIFS('Costal Nav'!$44:$44,'Costal Nav'!$3:$3,AB$3)+SUMIFS(Santos!$36:$36,Santos!$3:$3,AB$3)</f>
        <v>231.59944423584506</v>
      </c>
      <c r="AC29" s="46">
        <f ca="1">+SUMIFS(North!$48:$48,North!$3:$3,AC$3)+SUMIFS(South!$59:$59,South!$3:$3,AC$3)+SUMIFS('Costal Nav'!$44:$44,'Costal Nav'!$3:$3,AC$3)+SUMIFS(Santos!$36:$36,Santos!$3:$3,AC$3)</f>
        <v>214.78111422424408</v>
      </c>
      <c r="AD29" s="46">
        <f ca="1">+SUMIFS(North!$48:$48,North!$3:$3,AD$3)+SUMIFS(South!$59:$59,South!$3:$3,AD$3)+SUMIFS('Costal Nav'!$44:$44,'Costal Nav'!$3:$3,AD$3)+SUMIFS(Santos!$36:$36,Santos!$3:$3,AD$3)</f>
        <v>174.96896364637558</v>
      </c>
      <c r="AE29" s="46">
        <f ca="1">+SUMIFS(North!$48:$48,North!$3:$3,AE$3)+SUMIFS(South!$59:$59,South!$3:$3,AE$3)+SUMIFS('Costal Nav'!$44:$44,'Costal Nav'!$3:$3,AE$3)+SUMIFS(Santos!$36:$36,Santos!$3:$3,AE$3)</f>
        <v>191.53614566788895</v>
      </c>
      <c r="AF29" s="46">
        <f ca="1">+SUMIFS(North!$48:$48,North!$3:$3,AF$3)+SUMIFS(South!$59:$59,South!$3:$3,AF$3)+SUMIFS('Costal Nav'!$44:$44,'Costal Nav'!$3:$3,AF$3)+SUMIFS(Santos!$36:$36,Santos!$3:$3,AF$3)</f>
        <v>194.23484746357343</v>
      </c>
      <c r="AG29" s="46">
        <f ca="1">+SUMIFS(North!$48:$48,North!$3:$3,AG$3)+SUMIFS(South!$59:$59,South!$3:$3,AG$3)+SUMIFS('Costal Nav'!$44:$44,'Costal Nav'!$3:$3,AG$3)+SUMIFS(Santos!$36:$36,Santos!$3:$3,AG$3)</f>
        <v>169.33220467764525</v>
      </c>
      <c r="AH29" s="46">
        <f ca="1">+SUMIFS(North!$48:$48,North!$3:$3,AH$3)+SUMIFS(South!$59:$59,South!$3:$3,AH$3)+SUMIFS('Costal Nav'!$44:$44,'Costal Nav'!$3:$3,AH$3)+SUMIFS(Santos!$36:$36,Santos!$3:$3,AH$3)</f>
        <v>189.18971563221879</v>
      </c>
      <c r="AI29" s="46">
        <f ca="1">+SUMIFS(North!$48:$48,North!$3:$3,AI$3)+SUMIFS(South!$59:$59,South!$3:$3,AI$3)+SUMIFS('Costal Nav'!$44:$44,'Costal Nav'!$3:$3,AI$3)+SUMIFS(Santos!$36:$36,Santos!$3:$3,AI$3)</f>
        <v>203.74903892203019</v>
      </c>
      <c r="AJ29" s="46">
        <f ca="1">+SUMIFS(North!$48:$48,North!$3:$3,AJ$3)+SUMIFS(South!$59:$59,South!$3:$3,AJ$3)+SUMIFS('Costal Nav'!$44:$44,'Costal Nav'!$3:$3,AJ$3)+SUMIFS(Santos!$36:$36,Santos!$3:$3,AJ$3)</f>
        <v>205.55678780019559</v>
      </c>
      <c r="AK29" s="46">
        <f ca="1">+SUMIFS(North!$48:$48,North!$3:$3,AK$3)+SUMIFS(South!$59:$59,South!$3:$3,AK$3)+SUMIFS('Costal Nav'!$44:$44,'Costal Nav'!$3:$3,AK$3)+SUMIFS(Santos!$36:$36,Santos!$3:$3,AK$3)</f>
        <v>183.66814628349809</v>
      </c>
      <c r="AL29" s="46">
        <f ca="1">+SUMIFS(North!$48:$48,North!$3:$3,AL$3)+SUMIFS(South!$59:$59,South!$3:$3,AL$3)+SUMIFS('Costal Nav'!$44:$44,'Costal Nav'!$3:$3,AL$3)+SUMIFS(Santos!$36:$36,Santos!$3:$3,AL$3)</f>
        <v>194.86540710118535</v>
      </c>
      <c r="AM29" s="46">
        <f ca="1">+SUMIFS(North!$48:$48,North!$3:$3,AM$3)+SUMIFS(South!$59:$59,South!$3:$3,AM$3)+SUMIFS('Costal Nav'!$44:$44,'Costal Nav'!$3:$3,AM$3)+SUMIFS(Santos!$36:$36,Santos!$3:$3,AM$3)</f>
        <v>209.86151008969111</v>
      </c>
      <c r="AN29" s="46">
        <f ca="1">+SUMIFS(North!$48:$48,North!$3:$3,AN$3)+SUMIFS(South!$59:$59,South!$3:$3,AN$3)+SUMIFS('Costal Nav'!$44:$44,'Costal Nav'!$3:$3,AN$3)+SUMIFS(Santos!$36:$36,Santos!$3:$3,AN$3)</f>
        <v>211.72349143420146</v>
      </c>
      <c r="AO29" s="46">
        <f ca="1">+SUMIFS(North!$48:$48,North!$3:$3,AO$3)+SUMIFS(South!$59:$59,South!$3:$3,AO$3)+SUMIFS('Costal Nav'!$44:$44,'Costal Nav'!$3:$3,AO$3)+SUMIFS(Santos!$36:$36,Santos!$3:$3,AO$3)</f>
        <v>189.17819067200304</v>
      </c>
      <c r="AP29" s="46">
        <f ca="1">+SUMIFS(North!$48:$48,North!$3:$3,AP$3)+SUMIFS(South!$59:$59,South!$3:$3,AP$3)+SUMIFS('Costal Nav'!$44:$44,'Costal Nav'!$3:$3,AP$3)+SUMIFS(Santos!$36:$36,Santos!$3:$3,AP$3)</f>
        <v>187.97512965210831</v>
      </c>
      <c r="AQ29" s="46">
        <f ca="1">+SUMIFS(North!$48:$48,North!$3:$3,AQ$3)+SUMIFS(South!$59:$59,South!$3:$3,AQ$3)+SUMIFS('Costal Nav'!$44:$44,'Costal Nav'!$3:$3,AQ$3)+SUMIFS(Santos!$36:$36,Santos!$3:$3,AQ$3)</f>
        <v>201.94601822534383</v>
      </c>
      <c r="AR29" s="46">
        <f ca="1">+SUMIFS(North!$48:$48,North!$3:$3,AR$3)+SUMIFS(South!$59:$59,South!$3:$3,AR$3)+SUMIFS('Costal Nav'!$44:$44,'Costal Nav'!$3:$3,AR$3)+SUMIFS(Santos!$36:$36,Santos!$3:$3,AR$3)</f>
        <v>203.74835917057487</v>
      </c>
      <c r="AS29" s="46">
        <f ca="1">+SUMIFS(North!$48:$48,North!$3:$3,AS$3)+SUMIFS(South!$59:$59,South!$3:$3,AS$3)+SUMIFS('Costal Nav'!$44:$44,'Costal Nav'!$3:$3,AS$3)+SUMIFS(Santos!$36:$36,Santos!$3:$3,AS$3)</f>
        <v>182.74486536595211</v>
      </c>
      <c r="AT29" s="46">
        <f ca="1">+SUMIFS(North!$48:$48,North!$3:$3,AT$3)+SUMIFS(South!$59:$59,South!$3:$3,AT$3)+SUMIFS('Costal Nav'!$44:$44,'Costal Nav'!$3:$3,AT$3)+SUMIFS(Santos!$36:$36,Santos!$3:$3,AT$3)</f>
        <v>193.61438354167154</v>
      </c>
      <c r="AU29" s="46">
        <f ca="1">+SUMIFS(North!$48:$48,North!$3:$3,AU$3)+SUMIFS(South!$59:$59,South!$3:$3,AU$3)+SUMIFS('Costal Nav'!$44:$44,'Costal Nav'!$3:$3,AU$3)+SUMIFS(Santos!$36:$36,Santos!$3:$3,AU$3)</f>
        <v>208.00439877210411</v>
      </c>
      <c r="AV29" s="46">
        <f ca="1">+SUMIFS(North!$48:$48,North!$3:$3,AV$3)+SUMIFS(South!$59:$59,South!$3:$3,AV$3)+SUMIFS('Costal Nav'!$44:$44,'Costal Nav'!$3:$3,AV$3)+SUMIFS(Santos!$36:$36,Santos!$3:$3,AV$3)</f>
        <v>209.86080994569207</v>
      </c>
      <c r="AW29" s="46">
        <f ca="1">+SUMIFS(North!$48:$48,North!$3:$3,AW$3)+SUMIFS(South!$59:$59,South!$3:$3,AW$3)+SUMIFS('Costal Nav'!$44:$44,'Costal Nav'!$3:$3,AW$3)+SUMIFS(Santos!$36:$36,Santos!$3:$3,AW$3)</f>
        <v>188.22721132693061</v>
      </c>
      <c r="AX29" s="46">
        <f ca="1">+SUMIFS(North!$48:$48,North!$3:$3,AX$3)+SUMIFS(South!$59:$59,South!$3:$3,AX$3)+SUMIFS('Costal Nav'!$44:$44,'Costal Nav'!$3:$3,AX$3)+SUMIFS(Santos!$36:$36,Santos!$3:$3,AX$3)</f>
        <v>199.42281504792169</v>
      </c>
      <c r="AY29" s="46">
        <f ca="1">+SUMIFS(North!$48:$48,North!$3:$3,AY$3)+SUMIFS(South!$59:$59,South!$3:$3,AY$3)+SUMIFS('Costal Nav'!$44:$44,'Costal Nav'!$3:$3,AY$3)+SUMIFS(Santos!$36:$36,Santos!$3:$3,AY$3)</f>
        <v>214.2445307352672</v>
      </c>
      <c r="AZ29" s="46">
        <f ca="1">+SUMIFS(North!$48:$48,North!$3:$3,AZ$3)+SUMIFS(South!$59:$59,South!$3:$3,AZ$3)+SUMIFS('Costal Nav'!$44:$44,'Costal Nav'!$3:$3,AZ$3)+SUMIFS(Santos!$36:$36,Santos!$3:$3,AZ$3)</f>
        <v>216.15663424406281</v>
      </c>
      <c r="BA29" s="46">
        <f ca="1">+SUMIFS(North!$48:$48,North!$3:$3,BA$3)+SUMIFS(South!$59:$59,South!$3:$3,BA$3)+SUMIFS('Costal Nav'!$44:$44,'Costal Nav'!$3:$3,BA$3)+SUMIFS(Santos!$36:$36,Santos!$3:$3,BA$3)</f>
        <v>193.87402766673853</v>
      </c>
      <c r="BB29" s="8" t="s">
        <v>75</v>
      </c>
    </row>
    <row r="30" spans="1:54" x14ac:dyDescent="0.2">
      <c r="B30" s="26" t="s">
        <v>272</v>
      </c>
      <c r="C30" s="116" t="s">
        <v>177</v>
      </c>
      <c r="F30" s="21"/>
      <c r="G30" s="70">
        <f t="shared" ref="G30:N30" ca="1" si="33">+G29/G8</f>
        <v>0.78293568140219616</v>
      </c>
      <c r="H30" s="70">
        <f t="shared" ca="1" si="33"/>
        <v>0.58850189172273992</v>
      </c>
      <c r="I30" s="70">
        <f t="shared" ca="1" si="33"/>
        <v>0.49209774119392641</v>
      </c>
      <c r="J30" s="70">
        <f t="shared" ca="1" si="33"/>
        <v>0.4681955286753563</v>
      </c>
      <c r="K30" s="70">
        <f t="shared" ca="1" si="33"/>
        <v>0.44435232113327827</v>
      </c>
      <c r="L30" s="70">
        <f t="shared" ca="1" si="33"/>
        <v>0.39400552214997442</v>
      </c>
      <c r="M30" s="70">
        <f t="shared" ca="1" si="33"/>
        <v>0.37285022154743436</v>
      </c>
      <c r="N30" s="70">
        <f t="shared" ca="1" si="33"/>
        <v>0.35344884518709496</v>
      </c>
      <c r="O30" s="21"/>
      <c r="P30" s="21"/>
      <c r="Q30" s="21"/>
      <c r="R30" s="21"/>
      <c r="S30" s="21"/>
      <c r="T30" s="21"/>
      <c r="U30" s="21"/>
      <c r="V30" s="70">
        <f t="shared" ref="V30:BA30" ca="1" si="34">+V29/V8</f>
        <v>0.87104390878554416</v>
      </c>
      <c r="W30" s="70">
        <f t="shared" ca="1" si="34"/>
        <v>0.74311086419234773</v>
      </c>
      <c r="X30" s="70">
        <f t="shared" ca="1" si="34"/>
        <v>0.73912343099340838</v>
      </c>
      <c r="Y30" s="70">
        <f t="shared" ca="1" si="34"/>
        <v>0.80637406217905316</v>
      </c>
      <c r="Z30" s="70">
        <f t="shared" ca="1" si="34"/>
        <v>0.89728572171708865</v>
      </c>
      <c r="AA30" s="70">
        <f t="shared" ca="1" si="34"/>
        <v>0.5220135878199601</v>
      </c>
      <c r="AB30" s="70">
        <f t="shared" ca="1" si="34"/>
        <v>0.4983441083704046</v>
      </c>
      <c r="AC30" s="70">
        <f t="shared" ca="1" si="34"/>
        <v>0.6005377192777368</v>
      </c>
      <c r="AD30" s="70">
        <f t="shared" ca="1" si="34"/>
        <v>0.53471096321938349</v>
      </c>
      <c r="AE30" s="70">
        <f t="shared" ca="1" si="34"/>
        <v>0.44409880739339708</v>
      </c>
      <c r="AF30" s="70">
        <f t="shared" ca="1" si="34"/>
        <v>0.46139813805706009</v>
      </c>
      <c r="AG30" s="70">
        <f t="shared" ca="1" si="34"/>
        <v>0.55681545635653795</v>
      </c>
      <c r="AH30" s="70">
        <f t="shared" ca="1" si="34"/>
        <v>0.51358448164854453</v>
      </c>
      <c r="AI30" s="70">
        <f t="shared" ca="1" si="34"/>
        <v>0.41963376192642082</v>
      </c>
      <c r="AJ30" s="70">
        <f t="shared" ca="1" si="34"/>
        <v>0.43366929547540389</v>
      </c>
      <c r="AK30" s="70">
        <f t="shared" ca="1" si="34"/>
        <v>0.53596579962530067</v>
      </c>
      <c r="AL30" s="70">
        <f t="shared" ca="1" si="34"/>
        <v>0.48982975138495327</v>
      </c>
      <c r="AM30" s="70">
        <f t="shared" ca="1" si="34"/>
        <v>0.39652888041545364</v>
      </c>
      <c r="AN30" s="70">
        <f t="shared" ca="1" si="34"/>
        <v>0.40988398746308852</v>
      </c>
      <c r="AO30" s="70">
        <f t="shared" ca="1" si="34"/>
        <v>0.51208678531034368</v>
      </c>
      <c r="AP30" s="70">
        <f t="shared" ca="1" si="34"/>
        <v>0.43684884338759095</v>
      </c>
      <c r="AQ30" s="70">
        <f t="shared" ca="1" si="34"/>
        <v>0.34958039641484961</v>
      </c>
      <c r="AR30" s="70">
        <f t="shared" ca="1" si="34"/>
        <v>0.3614444093410486</v>
      </c>
      <c r="AS30" s="70">
        <f t="shared" ca="1" si="34"/>
        <v>0.45814240137897555</v>
      </c>
      <c r="AT30" s="70">
        <f t="shared" ca="1" si="34"/>
        <v>0.41536705070672786</v>
      </c>
      <c r="AU30" s="70">
        <f t="shared" ca="1" si="34"/>
        <v>0.32944770082990765</v>
      </c>
      <c r="AV30" s="70">
        <f t="shared" ca="1" si="34"/>
        <v>0.34068653174014385</v>
      </c>
      <c r="AW30" s="70">
        <f t="shared" ca="1" si="34"/>
        <v>0.43636566531750859</v>
      </c>
      <c r="AX30" s="70">
        <f t="shared" ca="1" si="34"/>
        <v>0.39547880969703308</v>
      </c>
      <c r="AY30" s="70">
        <f t="shared" ca="1" si="34"/>
        <v>0.31113290256798781</v>
      </c>
      <c r="AZ30" s="70">
        <f t="shared" ca="1" si="34"/>
        <v>0.3217981838793369</v>
      </c>
      <c r="BA30" s="70">
        <f t="shared" ca="1" si="34"/>
        <v>0.41613471543844643</v>
      </c>
      <c r="BB30" s="8" t="s">
        <v>75</v>
      </c>
    </row>
    <row r="31" spans="1:54" x14ac:dyDescent="0.2">
      <c r="C31" s="45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8" t="s">
        <v>75</v>
      </c>
    </row>
    <row r="32" spans="1:54" s="3" customFormat="1" x14ac:dyDescent="0.2">
      <c r="A32" s="17" t="s">
        <v>75</v>
      </c>
      <c r="B32" s="3" t="s">
        <v>33</v>
      </c>
      <c r="AA32" s="109"/>
      <c r="AB32" s="109"/>
      <c r="AC32" s="109"/>
      <c r="BB32" s="87" t="s">
        <v>75</v>
      </c>
    </row>
    <row r="33" spans="2:54" s="2" customFormat="1" x14ac:dyDescent="0.2">
      <c r="B33" s="2" t="s">
        <v>74</v>
      </c>
      <c r="E33" s="11"/>
      <c r="F33" s="11"/>
      <c r="G33" s="11"/>
      <c r="I33" s="11"/>
      <c r="J33" s="11"/>
      <c r="K33" s="11"/>
      <c r="L33" s="11"/>
      <c r="M33" s="11"/>
      <c r="N33" s="11"/>
      <c r="O33" s="11"/>
      <c r="P33" s="11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BB33" s="83" t="s">
        <v>75</v>
      </c>
    </row>
    <row r="34" spans="2:54" x14ac:dyDescent="0.2">
      <c r="B34" s="19" t="s">
        <v>34</v>
      </c>
      <c r="C34" s="45" t="s">
        <v>187</v>
      </c>
      <c r="D34" s="19"/>
      <c r="E34" s="11"/>
      <c r="F34" s="11"/>
      <c r="G34" s="11">
        <f t="shared" ref="G34:N43" si="35">+SUMIFS(34:34,$6:$6,G$3)</f>
        <v>58.609000000000066</v>
      </c>
      <c r="H34" s="11">
        <f t="shared" si="35"/>
        <v>-105.54499999999993</v>
      </c>
      <c r="I34" s="11">
        <f t="shared" ca="1" si="35"/>
        <v>245.52965353583218</v>
      </c>
      <c r="J34" s="11">
        <f t="shared" ca="1" si="35"/>
        <v>365.10157959855655</v>
      </c>
      <c r="K34" s="11">
        <f t="shared" ca="1" si="35"/>
        <v>405.78528607778622</v>
      </c>
      <c r="L34" s="11">
        <f t="shared" ca="1" si="35"/>
        <v>491.71532222042975</v>
      </c>
      <c r="M34" s="11">
        <f t="shared" ca="1" si="35"/>
        <v>571.88066724405951</v>
      </c>
      <c r="N34" s="11">
        <f t="shared" ca="1" si="35"/>
        <v>657.21778155082313</v>
      </c>
      <c r="O34" s="11"/>
      <c r="P34" s="11"/>
      <c r="Q34" s="11"/>
      <c r="R34" s="13"/>
      <c r="S34" s="13"/>
      <c r="T34" s="13"/>
      <c r="U34" s="13"/>
      <c r="V34" s="11">
        <f t="shared" ref="V34:BA34" si="36">+V23</f>
        <v>-2.827508894823064</v>
      </c>
      <c r="W34" s="11">
        <f t="shared" si="36"/>
        <v>52.007217505913154</v>
      </c>
      <c r="X34" s="11">
        <f t="shared" si="36"/>
        <v>22.160291388909943</v>
      </c>
      <c r="Y34" s="11">
        <f t="shared" si="36"/>
        <v>-12.730999999999963</v>
      </c>
      <c r="Z34" s="11">
        <f t="shared" si="36"/>
        <v>-126.71</v>
      </c>
      <c r="AA34" s="11">
        <f t="shared" si="36"/>
        <v>-7.4069999999999538</v>
      </c>
      <c r="AB34" s="11">
        <f t="shared" si="36"/>
        <v>-8.5229993132424688</v>
      </c>
      <c r="AC34" s="11">
        <f t="shared" si="36"/>
        <v>37.094999313242511</v>
      </c>
      <c r="AD34" s="11">
        <f t="shared" ca="1" si="36"/>
        <v>28.57953605684915</v>
      </c>
      <c r="AE34" s="11">
        <f t="shared" ca="1" si="36"/>
        <v>102.50031712455294</v>
      </c>
      <c r="AF34" s="11">
        <f t="shared" ca="1" si="36"/>
        <v>99.616618509216494</v>
      </c>
      <c r="AG34" s="11">
        <f t="shared" ca="1" si="36"/>
        <v>14.833181845213595</v>
      </c>
      <c r="AH34" s="11">
        <f t="shared" ca="1" si="36"/>
        <v>56.58783014171707</v>
      </c>
      <c r="AI34" s="11">
        <f t="shared" ca="1" si="36"/>
        <v>141.10686743191349</v>
      </c>
      <c r="AJ34" s="11">
        <f t="shared" ca="1" si="36"/>
        <v>130.77053091761206</v>
      </c>
      <c r="AK34" s="11">
        <f t="shared" ca="1" si="36"/>
        <v>36.636351107313963</v>
      </c>
      <c r="AL34" s="11">
        <f t="shared" ca="1" si="36"/>
        <v>61.600843471415736</v>
      </c>
      <c r="AM34" s="11">
        <f t="shared" ca="1" si="36"/>
        <v>158.67044455178029</v>
      </c>
      <c r="AN34" s="11">
        <f t="shared" ca="1" si="36"/>
        <v>144.98838348830617</v>
      </c>
      <c r="AO34" s="11">
        <f t="shared" ca="1" si="36"/>
        <v>40.525614566283984</v>
      </c>
      <c r="AP34" s="11">
        <f t="shared" ca="1" si="36"/>
        <v>77.364854734677834</v>
      </c>
      <c r="AQ34" s="11">
        <f t="shared" ca="1" si="36"/>
        <v>187.29386117194534</v>
      </c>
      <c r="AR34" s="11">
        <f t="shared" ca="1" si="36"/>
        <v>171.81920696087914</v>
      </c>
      <c r="AS34" s="11">
        <f t="shared" ca="1" si="36"/>
        <v>55.237399352927419</v>
      </c>
      <c r="AT34" s="11">
        <f t="shared" ca="1" si="36"/>
        <v>91.730859397234511</v>
      </c>
      <c r="AU34" s="11">
        <f t="shared" ca="1" si="36"/>
        <v>214.81117745985404</v>
      </c>
      <c r="AV34" s="11">
        <f t="shared" ca="1" si="36"/>
        <v>197.98980321183979</v>
      </c>
      <c r="AW34" s="11">
        <f t="shared" ca="1" si="36"/>
        <v>67.348827175131191</v>
      </c>
      <c r="AX34" s="11">
        <f t="shared" ca="1" si="36"/>
        <v>106.99355681139085</v>
      </c>
      <c r="AY34" s="11">
        <f t="shared" ca="1" si="36"/>
        <v>244.12051064810379</v>
      </c>
      <c r="AZ34" s="11">
        <f t="shared" ca="1" si="36"/>
        <v>225.860228752685</v>
      </c>
      <c r="BA34" s="11">
        <f t="shared" ca="1" si="36"/>
        <v>80.243485338643467</v>
      </c>
      <c r="BB34" s="8" t="s">
        <v>75</v>
      </c>
    </row>
    <row r="35" spans="2:54" x14ac:dyDescent="0.2">
      <c r="B35" s="19" t="s">
        <v>35</v>
      </c>
      <c r="C35" s="45" t="s">
        <v>187</v>
      </c>
      <c r="D35" s="19"/>
      <c r="E35" s="11"/>
      <c r="F35" s="11"/>
      <c r="G35" s="11">
        <f t="shared" si="35"/>
        <v>9.9240000000000013</v>
      </c>
      <c r="H35" s="11">
        <f t="shared" si="35"/>
        <v>8.6650000000000027</v>
      </c>
      <c r="I35" s="11">
        <f t="shared" si="35"/>
        <v>0</v>
      </c>
      <c r="J35" s="11">
        <f t="shared" si="35"/>
        <v>0</v>
      </c>
      <c r="K35" s="11">
        <f t="shared" si="35"/>
        <v>0</v>
      </c>
      <c r="L35" s="11">
        <f t="shared" si="35"/>
        <v>0</v>
      </c>
      <c r="M35" s="11">
        <f t="shared" si="35"/>
        <v>0</v>
      </c>
      <c r="N35" s="11">
        <f t="shared" si="35"/>
        <v>0</v>
      </c>
      <c r="O35" s="11"/>
      <c r="P35" s="11"/>
      <c r="R35" s="13"/>
      <c r="S35" s="13"/>
      <c r="T35" s="13"/>
      <c r="U35" s="13"/>
      <c r="V35" s="12">
        <v>0</v>
      </c>
      <c r="W35" s="12">
        <v>4.3247039817358948</v>
      </c>
      <c r="X35" s="12">
        <v>2.7174896469901797</v>
      </c>
      <c r="Y35" s="12">
        <v>2.8818063712739259</v>
      </c>
      <c r="Z35" s="12">
        <v>3.5680000000000001</v>
      </c>
      <c r="AA35" s="12">
        <v>7.89</v>
      </c>
      <c r="AB35" s="12">
        <v>7.09</v>
      </c>
      <c r="AC35" s="12">
        <v>-9.8829999999999991</v>
      </c>
      <c r="BB35" s="8" t="s">
        <v>75</v>
      </c>
    </row>
    <row r="36" spans="2:54" x14ac:dyDescent="0.2">
      <c r="B36" s="19" t="s">
        <v>36</v>
      </c>
      <c r="C36" s="45" t="s">
        <v>187</v>
      </c>
      <c r="D36" s="19"/>
      <c r="E36" s="11"/>
      <c r="F36" s="11"/>
      <c r="G36" s="11">
        <f t="shared" si="35"/>
        <v>0</v>
      </c>
      <c r="H36" s="11">
        <f t="shared" si="35"/>
        <v>0</v>
      </c>
      <c r="I36" s="11">
        <f t="shared" si="35"/>
        <v>0</v>
      </c>
      <c r="J36" s="11">
        <f t="shared" si="35"/>
        <v>0</v>
      </c>
      <c r="K36" s="11">
        <f t="shared" si="35"/>
        <v>0</v>
      </c>
      <c r="L36" s="11">
        <f t="shared" si="35"/>
        <v>0</v>
      </c>
      <c r="M36" s="11">
        <f t="shared" si="35"/>
        <v>0</v>
      </c>
      <c r="N36" s="11">
        <f t="shared" si="35"/>
        <v>0</v>
      </c>
      <c r="O36" s="11"/>
      <c r="P36" s="11"/>
      <c r="R36" s="13"/>
      <c r="S36" s="13"/>
      <c r="T36" s="13"/>
      <c r="U36" s="13"/>
      <c r="V36" s="12">
        <v>0</v>
      </c>
      <c r="W36" s="12">
        <v>-0.8343161999999098</v>
      </c>
      <c r="X36" s="12">
        <v>0.8343161999999098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BB36" s="8" t="s">
        <v>75</v>
      </c>
    </row>
    <row r="37" spans="2:54" x14ac:dyDescent="0.2">
      <c r="B37" s="19" t="s">
        <v>37</v>
      </c>
      <c r="C37" s="45" t="s">
        <v>187</v>
      </c>
      <c r="D37" s="19"/>
      <c r="E37" s="11"/>
      <c r="F37" s="11"/>
      <c r="G37" s="11">
        <f t="shared" si="35"/>
        <v>35.866999999999997</v>
      </c>
      <c r="H37" s="11">
        <f t="shared" si="35"/>
        <v>64.042000000000002</v>
      </c>
      <c r="I37" s="11">
        <f t="shared" si="35"/>
        <v>0</v>
      </c>
      <c r="J37" s="11">
        <f t="shared" si="35"/>
        <v>0</v>
      </c>
      <c r="K37" s="11">
        <f t="shared" si="35"/>
        <v>0</v>
      </c>
      <c r="L37" s="11">
        <f t="shared" si="35"/>
        <v>0</v>
      </c>
      <c r="M37" s="11">
        <f t="shared" si="35"/>
        <v>0</v>
      </c>
      <c r="N37" s="11">
        <f t="shared" si="35"/>
        <v>0</v>
      </c>
      <c r="O37" s="11"/>
      <c r="P37" s="11"/>
      <c r="R37" s="13"/>
      <c r="S37" s="13"/>
      <c r="T37" s="13"/>
      <c r="U37" s="13"/>
      <c r="V37" s="12">
        <v>2.516</v>
      </c>
      <c r="W37" s="12">
        <v>8.34</v>
      </c>
      <c r="X37" s="12">
        <v>8.2240000000000002</v>
      </c>
      <c r="Y37" s="12">
        <v>16.786999999999999</v>
      </c>
      <c r="Z37" s="12">
        <v>2.88</v>
      </c>
      <c r="AA37" s="12">
        <v>18.077000000000002</v>
      </c>
      <c r="AB37" s="12">
        <v>12.433999999999999</v>
      </c>
      <c r="AC37" s="12">
        <v>30.651</v>
      </c>
      <c r="BB37" s="8" t="s">
        <v>75</v>
      </c>
    </row>
    <row r="38" spans="2:54" x14ac:dyDescent="0.2">
      <c r="B38" s="19" t="s">
        <v>38</v>
      </c>
      <c r="C38" s="45" t="s">
        <v>187</v>
      </c>
      <c r="D38" s="19"/>
      <c r="E38" s="11"/>
      <c r="F38" s="11"/>
      <c r="G38" s="11">
        <f t="shared" si="35"/>
        <v>0</v>
      </c>
      <c r="H38" s="11">
        <f t="shared" si="35"/>
        <v>11.246</v>
      </c>
      <c r="I38" s="11">
        <f t="shared" si="35"/>
        <v>0</v>
      </c>
      <c r="J38" s="11">
        <f t="shared" si="35"/>
        <v>0</v>
      </c>
      <c r="K38" s="11">
        <f t="shared" si="35"/>
        <v>0</v>
      </c>
      <c r="L38" s="11">
        <f t="shared" si="35"/>
        <v>0</v>
      </c>
      <c r="M38" s="11">
        <f t="shared" si="35"/>
        <v>0</v>
      </c>
      <c r="N38" s="11">
        <f t="shared" si="35"/>
        <v>0</v>
      </c>
      <c r="O38" s="11"/>
      <c r="P38" s="11"/>
      <c r="R38" s="13"/>
      <c r="S38" s="13"/>
      <c r="T38" s="13"/>
      <c r="U38" s="13"/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11.246</v>
      </c>
      <c r="BB38" s="8" t="s">
        <v>75</v>
      </c>
    </row>
    <row r="39" spans="2:54" x14ac:dyDescent="0.2">
      <c r="B39" s="19" t="s">
        <v>39</v>
      </c>
      <c r="C39" s="45" t="s">
        <v>187</v>
      </c>
      <c r="D39" s="19"/>
      <c r="E39" s="11"/>
      <c r="F39" s="11"/>
      <c r="G39" s="11">
        <f t="shared" si="35"/>
        <v>-4.163336342344337E-16</v>
      </c>
      <c r="H39" s="11">
        <f t="shared" si="35"/>
        <v>3.91</v>
      </c>
      <c r="I39" s="11">
        <f t="shared" si="35"/>
        <v>0</v>
      </c>
      <c r="J39" s="11">
        <f t="shared" si="35"/>
        <v>0</v>
      </c>
      <c r="K39" s="11">
        <f t="shared" si="35"/>
        <v>0</v>
      </c>
      <c r="L39" s="11">
        <f t="shared" si="35"/>
        <v>0</v>
      </c>
      <c r="M39" s="11">
        <f t="shared" si="35"/>
        <v>0</v>
      </c>
      <c r="N39" s="11">
        <f t="shared" si="35"/>
        <v>0</v>
      </c>
      <c r="O39" s="11"/>
      <c r="P39" s="11"/>
      <c r="R39" s="13"/>
      <c r="S39" s="13"/>
      <c r="T39" s="13"/>
      <c r="U39" s="13"/>
      <c r="V39" s="12">
        <v>7.1859999999999999</v>
      </c>
      <c r="W39" s="12">
        <v>-9.1820000000000004</v>
      </c>
      <c r="X39" s="12">
        <v>1.77</v>
      </c>
      <c r="Y39" s="12">
        <v>0.22600000000000001</v>
      </c>
      <c r="Z39" s="12">
        <v>-8.6999999999999994E-2</v>
      </c>
      <c r="AA39" s="12">
        <v>0.29299999999999998</v>
      </c>
      <c r="AB39" s="12">
        <v>-1.7999999999999999E-2</v>
      </c>
      <c r="AC39" s="12">
        <v>3.722</v>
      </c>
      <c r="BB39" s="8" t="s">
        <v>75</v>
      </c>
    </row>
    <row r="40" spans="2:54" x14ac:dyDescent="0.2">
      <c r="B40" s="19" t="s">
        <v>40</v>
      </c>
      <c r="C40" s="45" t="s">
        <v>187</v>
      </c>
      <c r="D40" s="19"/>
      <c r="E40" s="11"/>
      <c r="F40" s="11"/>
      <c r="G40" s="11">
        <f t="shared" si="35"/>
        <v>-1.7279999999999944</v>
      </c>
      <c r="H40" s="11">
        <f t="shared" si="35"/>
        <v>180.077</v>
      </c>
      <c r="I40" s="11">
        <f t="shared" si="35"/>
        <v>0</v>
      </c>
      <c r="J40" s="11">
        <f t="shared" si="35"/>
        <v>0</v>
      </c>
      <c r="K40" s="11">
        <f t="shared" si="35"/>
        <v>0</v>
      </c>
      <c r="L40" s="11">
        <f t="shared" si="35"/>
        <v>0</v>
      </c>
      <c r="M40" s="11">
        <f t="shared" si="35"/>
        <v>0</v>
      </c>
      <c r="N40" s="11">
        <f t="shared" si="35"/>
        <v>0</v>
      </c>
      <c r="O40" s="11"/>
      <c r="P40" s="11"/>
      <c r="R40" s="13"/>
      <c r="S40" s="13"/>
      <c r="T40" s="13"/>
      <c r="U40" s="13"/>
      <c r="V40" s="12">
        <v>38.396000000000001</v>
      </c>
      <c r="W40" s="12">
        <v>39.631999999999998</v>
      </c>
      <c r="X40" s="12">
        <v>39.939469383094767</v>
      </c>
      <c r="Y40" s="12">
        <v>-119.69546938309476</v>
      </c>
      <c r="Z40" s="12">
        <v>43.74</v>
      </c>
      <c r="AA40" s="12">
        <v>62.841999999999999</v>
      </c>
      <c r="AB40" s="12">
        <v>54.536000000000001</v>
      </c>
      <c r="AC40" s="12">
        <v>18.959</v>
      </c>
      <c r="BB40" s="8" t="s">
        <v>75</v>
      </c>
    </row>
    <row r="41" spans="2:54" x14ac:dyDescent="0.2">
      <c r="B41" s="19" t="s">
        <v>41</v>
      </c>
      <c r="C41" s="45" t="s">
        <v>187</v>
      </c>
      <c r="D41" s="19"/>
      <c r="E41" s="11"/>
      <c r="F41" s="11"/>
      <c r="G41" s="11">
        <f t="shared" si="35"/>
        <v>159.173</v>
      </c>
      <c r="H41" s="11">
        <f t="shared" si="35"/>
        <v>5.3360000000000003</v>
      </c>
      <c r="I41" s="11">
        <f t="shared" si="35"/>
        <v>0</v>
      </c>
      <c r="J41" s="11">
        <f t="shared" si="35"/>
        <v>0</v>
      </c>
      <c r="K41" s="11">
        <f t="shared" si="35"/>
        <v>0</v>
      </c>
      <c r="L41" s="11">
        <f t="shared" si="35"/>
        <v>0</v>
      </c>
      <c r="M41" s="11">
        <f t="shared" si="35"/>
        <v>0</v>
      </c>
      <c r="N41" s="11">
        <f t="shared" si="35"/>
        <v>0</v>
      </c>
      <c r="O41" s="11"/>
      <c r="P41" s="11"/>
      <c r="R41" s="13"/>
      <c r="S41" s="13"/>
      <c r="T41" s="13"/>
      <c r="U41" s="13"/>
      <c r="V41" s="12">
        <v>1.214</v>
      </c>
      <c r="W41" s="12">
        <v>-3.6890000000000001</v>
      </c>
      <c r="X41" s="12">
        <v>-1.2789966954803575</v>
      </c>
      <c r="Y41" s="12">
        <v>162.92699669548037</v>
      </c>
      <c r="Z41" s="12">
        <v>1.4830000000000001</v>
      </c>
      <c r="AA41" s="12">
        <v>0.28799999999999998</v>
      </c>
      <c r="AB41" s="12">
        <v>1.77</v>
      </c>
      <c r="AC41" s="12">
        <v>1.7949999999999999</v>
      </c>
      <c r="BB41" s="8" t="s">
        <v>75</v>
      </c>
    </row>
    <row r="42" spans="2:54" x14ac:dyDescent="0.2">
      <c r="B42" s="19" t="s">
        <v>42</v>
      </c>
      <c r="C42" s="45" t="s">
        <v>187</v>
      </c>
      <c r="D42" s="19"/>
      <c r="E42" s="11"/>
      <c r="F42" s="11"/>
      <c r="G42" s="11">
        <f t="shared" si="35"/>
        <v>5.0789999999999997</v>
      </c>
      <c r="H42" s="11">
        <f t="shared" si="35"/>
        <v>71.012999999999991</v>
      </c>
      <c r="I42" s="11">
        <f t="shared" si="35"/>
        <v>0</v>
      </c>
      <c r="J42" s="11">
        <f t="shared" si="35"/>
        <v>0</v>
      </c>
      <c r="K42" s="11">
        <f t="shared" si="35"/>
        <v>0</v>
      </c>
      <c r="L42" s="11">
        <f t="shared" si="35"/>
        <v>0</v>
      </c>
      <c r="M42" s="11">
        <f t="shared" si="35"/>
        <v>0</v>
      </c>
      <c r="N42" s="11">
        <f t="shared" si="35"/>
        <v>0</v>
      </c>
      <c r="O42" s="11"/>
      <c r="P42" s="11"/>
      <c r="R42" s="13"/>
      <c r="S42" s="13"/>
      <c r="T42" s="13"/>
      <c r="U42" s="13"/>
      <c r="V42" s="12">
        <v>2.7789999999999999</v>
      </c>
      <c r="W42" s="12">
        <v>-2.95</v>
      </c>
      <c r="X42" s="12">
        <v>1E-3</v>
      </c>
      <c r="Y42" s="12">
        <v>5.2489999999999997</v>
      </c>
      <c r="Z42" s="12">
        <v>72.811999999999998</v>
      </c>
      <c r="AA42" s="12">
        <v>17.765000000000001</v>
      </c>
      <c r="AB42" s="12">
        <v>11.609</v>
      </c>
      <c r="AC42" s="12">
        <v>-31.172999999999998</v>
      </c>
      <c r="BB42" s="8" t="s">
        <v>75</v>
      </c>
    </row>
    <row r="43" spans="2:54" x14ac:dyDescent="0.2">
      <c r="B43" s="19" t="s">
        <v>43</v>
      </c>
      <c r="C43" s="45" t="s">
        <v>187</v>
      </c>
      <c r="D43" s="19"/>
      <c r="E43" s="11"/>
      <c r="F43" s="11"/>
      <c r="G43" s="11">
        <f t="shared" si="35"/>
        <v>6.8620000000000001</v>
      </c>
      <c r="H43" s="11">
        <f t="shared" si="35"/>
        <v>9.0139999999999993</v>
      </c>
      <c r="I43" s="11">
        <f t="shared" si="35"/>
        <v>0</v>
      </c>
      <c r="J43" s="11">
        <f t="shared" si="35"/>
        <v>0</v>
      </c>
      <c r="K43" s="11">
        <f t="shared" si="35"/>
        <v>0</v>
      </c>
      <c r="L43" s="11">
        <f t="shared" si="35"/>
        <v>0</v>
      </c>
      <c r="M43" s="11">
        <f t="shared" si="35"/>
        <v>0</v>
      </c>
      <c r="N43" s="11">
        <f t="shared" si="35"/>
        <v>0</v>
      </c>
      <c r="O43" s="11"/>
      <c r="P43" s="11"/>
      <c r="R43" s="13"/>
      <c r="S43" s="13"/>
      <c r="T43" s="13"/>
      <c r="U43" s="13"/>
      <c r="V43" s="12">
        <v>0</v>
      </c>
      <c r="W43" s="12">
        <v>0.68799999999999994</v>
      </c>
      <c r="X43" s="12">
        <v>0.57671867306156055</v>
      </c>
      <c r="Y43" s="12">
        <v>5.5972813269384396</v>
      </c>
      <c r="Z43" s="12">
        <v>0.439</v>
      </c>
      <c r="AA43" s="12">
        <v>0.44800000000000001</v>
      </c>
      <c r="AB43" s="12">
        <v>0.57999999999999996</v>
      </c>
      <c r="AC43" s="12">
        <v>7.5469999999999997</v>
      </c>
      <c r="BB43" s="8" t="s">
        <v>75</v>
      </c>
    </row>
    <row r="44" spans="2:54" x14ac:dyDescent="0.2">
      <c r="B44" s="19" t="s">
        <v>44</v>
      </c>
      <c r="C44" s="45" t="s">
        <v>187</v>
      </c>
      <c r="D44" s="19"/>
      <c r="E44" s="11"/>
      <c r="F44" s="11"/>
      <c r="G44" s="11">
        <f t="shared" ref="G44:N51" si="37">+SUMIFS(44:44,$6:$6,G$3)</f>
        <v>1.677</v>
      </c>
      <c r="H44" s="11">
        <f t="shared" si="37"/>
        <v>17.048999999999999</v>
      </c>
      <c r="I44" s="11">
        <f t="shared" si="37"/>
        <v>0</v>
      </c>
      <c r="J44" s="11">
        <f t="shared" si="37"/>
        <v>0</v>
      </c>
      <c r="K44" s="11">
        <f t="shared" si="37"/>
        <v>0</v>
      </c>
      <c r="L44" s="11">
        <f t="shared" si="37"/>
        <v>0</v>
      </c>
      <c r="M44" s="11">
        <f t="shared" si="37"/>
        <v>0</v>
      </c>
      <c r="N44" s="11">
        <f t="shared" si="37"/>
        <v>0</v>
      </c>
      <c r="O44" s="11"/>
      <c r="P44" s="11"/>
      <c r="R44" s="13"/>
      <c r="S44" s="13"/>
      <c r="T44" s="13"/>
      <c r="U44" s="13"/>
      <c r="V44" s="12">
        <v>0</v>
      </c>
      <c r="W44" s="12">
        <v>0</v>
      </c>
      <c r="X44" s="12">
        <v>0</v>
      </c>
      <c r="Y44" s="12">
        <v>1.677</v>
      </c>
      <c r="Z44" s="12">
        <v>1.024</v>
      </c>
      <c r="AA44" s="12">
        <v>0.72099999999999997</v>
      </c>
      <c r="AB44" s="12">
        <v>14.901</v>
      </c>
      <c r="AC44" s="12">
        <v>0.40300000000000002</v>
      </c>
      <c r="BB44" s="8" t="s">
        <v>75</v>
      </c>
    </row>
    <row r="45" spans="2:54" x14ac:dyDescent="0.2">
      <c r="B45" s="19" t="s">
        <v>45</v>
      </c>
      <c r="C45" s="45" t="s">
        <v>187</v>
      </c>
      <c r="D45" s="19"/>
      <c r="E45" s="11"/>
      <c r="F45" s="11"/>
      <c r="G45" s="11">
        <f t="shared" si="37"/>
        <v>3.5910000000000011</v>
      </c>
      <c r="H45" s="11">
        <f t="shared" si="37"/>
        <v>-44.490999999999993</v>
      </c>
      <c r="I45" s="11">
        <f t="shared" si="37"/>
        <v>0</v>
      </c>
      <c r="J45" s="11">
        <f t="shared" si="37"/>
        <v>0</v>
      </c>
      <c r="K45" s="11">
        <f t="shared" si="37"/>
        <v>0</v>
      </c>
      <c r="L45" s="11">
        <f t="shared" si="37"/>
        <v>0</v>
      </c>
      <c r="M45" s="11">
        <f t="shared" si="37"/>
        <v>0</v>
      </c>
      <c r="N45" s="11">
        <f t="shared" si="37"/>
        <v>0</v>
      </c>
      <c r="O45" s="11"/>
      <c r="P45" s="11"/>
      <c r="R45" s="13"/>
      <c r="S45" s="13"/>
      <c r="T45" s="13"/>
      <c r="U45" s="13"/>
      <c r="V45" s="12">
        <v>-10.473000000000001</v>
      </c>
      <c r="W45" s="12">
        <v>1.9495288986599735</v>
      </c>
      <c r="X45" s="12">
        <v>-25.0081848300159</v>
      </c>
      <c r="Y45" s="12">
        <v>37.122655931355929</v>
      </c>
      <c r="Z45" s="12">
        <v>-50.353999999999999</v>
      </c>
      <c r="AA45" s="12">
        <v>-13.43</v>
      </c>
      <c r="AB45" s="12">
        <v>-0.378</v>
      </c>
      <c r="AC45" s="12">
        <v>19.670999999999999</v>
      </c>
      <c r="BB45" s="8" t="s">
        <v>75</v>
      </c>
    </row>
    <row r="46" spans="2:54" x14ac:dyDescent="0.2">
      <c r="B46" s="19" t="s">
        <v>46</v>
      </c>
      <c r="C46" s="45" t="s">
        <v>187</v>
      </c>
      <c r="D46" s="19"/>
      <c r="E46" s="11"/>
      <c r="F46" s="11"/>
      <c r="G46" s="11">
        <f t="shared" si="37"/>
        <v>-32.215999999999994</v>
      </c>
      <c r="H46" s="11">
        <f t="shared" si="37"/>
        <v>0</v>
      </c>
      <c r="I46" s="11">
        <f t="shared" si="37"/>
        <v>0</v>
      </c>
      <c r="J46" s="11">
        <f t="shared" si="37"/>
        <v>0</v>
      </c>
      <c r="K46" s="11">
        <f t="shared" si="37"/>
        <v>0</v>
      </c>
      <c r="L46" s="11">
        <f t="shared" si="37"/>
        <v>0</v>
      </c>
      <c r="M46" s="11">
        <f t="shared" si="37"/>
        <v>0</v>
      </c>
      <c r="N46" s="11">
        <f t="shared" si="37"/>
        <v>0</v>
      </c>
      <c r="O46" s="11"/>
      <c r="P46" s="11"/>
      <c r="R46" s="13"/>
      <c r="S46" s="13"/>
      <c r="T46" s="13"/>
      <c r="U46" s="13"/>
      <c r="V46" s="12">
        <v>3.0000000000000001E-3</v>
      </c>
      <c r="W46" s="12">
        <v>8.0000000000000002E-3</v>
      </c>
      <c r="X46" s="12">
        <v>0</v>
      </c>
      <c r="Y46" s="12">
        <v>-32.226999999999997</v>
      </c>
      <c r="Z46" s="12">
        <v>0</v>
      </c>
      <c r="AA46" s="12">
        <v>0</v>
      </c>
      <c r="AB46" s="12">
        <v>0</v>
      </c>
      <c r="AC46" s="12">
        <v>0</v>
      </c>
      <c r="BB46" s="8" t="s">
        <v>75</v>
      </c>
    </row>
    <row r="47" spans="2:54" x14ac:dyDescent="0.2">
      <c r="B47" s="19" t="s">
        <v>47</v>
      </c>
      <c r="C47" s="45" t="s">
        <v>187</v>
      </c>
      <c r="D47" s="181">
        <f ca="1">+Ctrl!$G$70</f>
        <v>35</v>
      </c>
      <c r="E47" s="11"/>
      <c r="F47" s="11"/>
      <c r="G47" s="11">
        <f t="shared" si="37"/>
        <v>7.2890000000000015</v>
      </c>
      <c r="H47" s="11">
        <f t="shared" si="37"/>
        <v>209.99200000000002</v>
      </c>
      <c r="I47" s="11">
        <f t="shared" ca="1" si="37"/>
        <v>239.73857142857145</v>
      </c>
      <c r="J47" s="11">
        <f t="shared" ca="1" si="37"/>
        <v>250.98857142857145</v>
      </c>
      <c r="K47" s="11">
        <f t="shared" ca="1" si="37"/>
        <v>258.18810024228941</v>
      </c>
      <c r="L47" s="11">
        <f t="shared" ca="1" si="37"/>
        <v>262.9274285124331</v>
      </c>
      <c r="M47" s="11">
        <f t="shared" ca="1" si="37"/>
        <v>267.78611986412784</v>
      </c>
      <c r="N47" s="11">
        <f t="shared" ca="1" si="37"/>
        <v>272.74571075121929</v>
      </c>
      <c r="O47" s="11"/>
      <c r="P47" s="11"/>
      <c r="R47" s="13"/>
      <c r="S47" s="13"/>
      <c r="T47" s="13"/>
      <c r="U47" s="13"/>
      <c r="V47" s="12">
        <v>42.125999999999998</v>
      </c>
      <c r="W47" s="12">
        <v>43.787373000000009</v>
      </c>
      <c r="X47" s="12">
        <v>37.274902999999988</v>
      </c>
      <c r="Y47" s="12">
        <v>-115.899276</v>
      </c>
      <c r="Z47" s="12">
        <v>48.11</v>
      </c>
      <c r="AA47" s="12">
        <v>52.47</v>
      </c>
      <c r="AB47" s="12">
        <v>52.021999999999998</v>
      </c>
      <c r="AC47" s="12">
        <v>57.39</v>
      </c>
      <c r="AD47" s="11">
        <f ca="1">+AC47-(AD76/($D47*4))</f>
        <v>58.568571428571431</v>
      </c>
      <c r="AE47" s="11">
        <f t="shared" ref="AE47:BA47" ca="1" si="38">+AD47-(AE76/($D47*4))</f>
        <v>59.747142857142862</v>
      </c>
      <c r="AF47" s="11">
        <f t="shared" ca="1" si="38"/>
        <v>60.461428571428577</v>
      </c>
      <c r="AG47" s="11">
        <f t="shared" ca="1" si="38"/>
        <v>60.961428571428577</v>
      </c>
      <c r="AH47" s="11">
        <f t="shared" ca="1" si="38"/>
        <v>61.675714285714292</v>
      </c>
      <c r="AI47" s="11">
        <f t="shared" ca="1" si="38"/>
        <v>62.390000000000008</v>
      </c>
      <c r="AJ47" s="11">
        <f t="shared" ca="1" si="38"/>
        <v>63.104285714285723</v>
      </c>
      <c r="AK47" s="11">
        <f t="shared" ca="1" si="38"/>
        <v>63.818571428571438</v>
      </c>
      <c r="AL47" s="11">
        <f t="shared" ca="1" si="38"/>
        <v>64.109952881371811</v>
      </c>
      <c r="AM47" s="11">
        <f t="shared" ca="1" si="38"/>
        <v>64.401334334172176</v>
      </c>
      <c r="AN47" s="11">
        <f t="shared" ca="1" si="38"/>
        <v>64.692715786972542</v>
      </c>
      <c r="AO47" s="11">
        <f t="shared" ca="1" si="38"/>
        <v>64.984097239772908</v>
      </c>
      <c r="AP47" s="11">
        <f t="shared" ca="1" si="38"/>
        <v>65.283201195107054</v>
      </c>
      <c r="AQ47" s="11">
        <f t="shared" ca="1" si="38"/>
        <v>65.582305150441201</v>
      </c>
      <c r="AR47" s="11">
        <f t="shared" ca="1" si="38"/>
        <v>65.881409105775347</v>
      </c>
      <c r="AS47" s="11">
        <f t="shared" ca="1" si="38"/>
        <v>66.180513061109494</v>
      </c>
      <c r="AT47" s="11">
        <f t="shared" ca="1" si="38"/>
        <v>66.48691982307848</v>
      </c>
      <c r="AU47" s="11">
        <f t="shared" ca="1" si="38"/>
        <v>66.793326585047467</v>
      </c>
      <c r="AV47" s="11">
        <f t="shared" ca="1" si="38"/>
        <v>67.099733347016453</v>
      </c>
      <c r="AW47" s="11">
        <f t="shared" ca="1" si="38"/>
        <v>67.40614010898544</v>
      </c>
      <c r="AX47" s="11">
        <f t="shared" ca="1" si="38"/>
        <v>67.718255140513193</v>
      </c>
      <c r="AY47" s="11">
        <f t="shared" ca="1" si="38"/>
        <v>68.030370172040946</v>
      </c>
      <c r="AZ47" s="11">
        <f t="shared" ca="1" si="38"/>
        <v>68.3424852035687</v>
      </c>
      <c r="BA47" s="11">
        <f t="shared" ca="1" si="38"/>
        <v>68.654600235096453</v>
      </c>
      <c r="BB47" s="8" t="s">
        <v>75</v>
      </c>
    </row>
    <row r="48" spans="2:54" x14ac:dyDescent="0.2">
      <c r="B48" s="19" t="s">
        <v>48</v>
      </c>
      <c r="C48" s="45" t="s">
        <v>187</v>
      </c>
      <c r="D48" s="19"/>
      <c r="E48" s="11"/>
      <c r="F48" s="11"/>
      <c r="G48" s="11">
        <f t="shared" si="37"/>
        <v>178.13499999999999</v>
      </c>
      <c r="H48" s="11">
        <f t="shared" si="37"/>
        <v>13.763</v>
      </c>
      <c r="I48" s="11">
        <f t="shared" si="37"/>
        <v>0</v>
      </c>
      <c r="J48" s="11">
        <f t="shared" si="37"/>
        <v>0</v>
      </c>
      <c r="K48" s="11">
        <f t="shared" si="37"/>
        <v>0</v>
      </c>
      <c r="L48" s="11">
        <f t="shared" si="37"/>
        <v>0</v>
      </c>
      <c r="M48" s="11">
        <f t="shared" si="37"/>
        <v>0</v>
      </c>
      <c r="N48" s="11">
        <f t="shared" si="37"/>
        <v>0</v>
      </c>
      <c r="O48" s="11"/>
      <c r="P48" s="11"/>
      <c r="R48" s="13"/>
      <c r="S48" s="13"/>
      <c r="T48" s="13"/>
      <c r="U48" s="13"/>
      <c r="V48" s="12">
        <v>1.236</v>
      </c>
      <c r="W48" s="12">
        <v>1.1154823936214029</v>
      </c>
      <c r="X48" s="12">
        <v>2.629990467969507</v>
      </c>
      <c r="Y48" s="12">
        <v>173.15352713840909</v>
      </c>
      <c r="Z48" s="12">
        <v>1.5369999999999999</v>
      </c>
      <c r="AA48" s="12">
        <v>2.0859999999999999</v>
      </c>
      <c r="AB48" s="12">
        <v>2.8839999999999999</v>
      </c>
      <c r="AC48" s="12">
        <v>7.2560000000000002</v>
      </c>
      <c r="BB48" s="8" t="s">
        <v>75</v>
      </c>
    </row>
    <row r="49" spans="2:54" x14ac:dyDescent="0.2">
      <c r="B49" s="19" t="s">
        <v>24</v>
      </c>
      <c r="C49" s="45" t="s">
        <v>187</v>
      </c>
      <c r="D49" s="19"/>
      <c r="E49" s="11"/>
      <c r="F49" s="11"/>
      <c r="G49" s="11">
        <f t="shared" si="37"/>
        <v>6.58</v>
      </c>
      <c r="H49" s="11">
        <f t="shared" si="37"/>
        <v>5.3620000000000001</v>
      </c>
      <c r="I49" s="11">
        <f t="shared" si="37"/>
        <v>0</v>
      </c>
      <c r="J49" s="11">
        <f t="shared" si="37"/>
        <v>0</v>
      </c>
      <c r="K49" s="11">
        <f t="shared" si="37"/>
        <v>0</v>
      </c>
      <c r="L49" s="11">
        <f t="shared" si="37"/>
        <v>0</v>
      </c>
      <c r="M49" s="11">
        <f t="shared" si="37"/>
        <v>0</v>
      </c>
      <c r="N49" s="11">
        <f t="shared" si="37"/>
        <v>0</v>
      </c>
      <c r="O49" s="11"/>
      <c r="P49" s="11"/>
      <c r="R49" s="13"/>
      <c r="S49" s="13"/>
      <c r="T49" s="13"/>
      <c r="U49" s="13"/>
      <c r="V49" s="12">
        <v>4.4710000000000001</v>
      </c>
      <c r="W49" s="12">
        <v>-1.1217379378822625</v>
      </c>
      <c r="X49" s="12">
        <v>-0.54884239443332394</v>
      </c>
      <c r="Y49" s="12">
        <v>3.7795803323155863</v>
      </c>
      <c r="Z49" s="12">
        <v>2.2949999999999999</v>
      </c>
      <c r="AA49" s="12">
        <v>-1.82</v>
      </c>
      <c r="AB49" s="12">
        <v>1.819</v>
      </c>
      <c r="AC49" s="12">
        <v>3.0680000000000001</v>
      </c>
      <c r="BB49" s="8" t="s">
        <v>75</v>
      </c>
    </row>
    <row r="50" spans="2:54" x14ac:dyDescent="0.2">
      <c r="B50" s="19" t="s">
        <v>49</v>
      </c>
      <c r="C50" s="45" t="s">
        <v>187</v>
      </c>
      <c r="D50" s="19"/>
      <c r="E50" s="11"/>
      <c r="F50" s="11"/>
      <c r="G50" s="11">
        <f t="shared" si="37"/>
        <v>6.7049999999999983</v>
      </c>
      <c r="H50" s="11">
        <f t="shared" si="37"/>
        <v>139.09299999999999</v>
      </c>
      <c r="I50" s="11">
        <f t="shared" si="37"/>
        <v>0</v>
      </c>
      <c r="J50" s="11">
        <f t="shared" si="37"/>
        <v>0</v>
      </c>
      <c r="K50" s="11">
        <f t="shared" si="37"/>
        <v>0</v>
      </c>
      <c r="L50" s="11">
        <f t="shared" si="37"/>
        <v>0</v>
      </c>
      <c r="M50" s="11">
        <f t="shared" si="37"/>
        <v>0</v>
      </c>
      <c r="N50" s="11">
        <f t="shared" si="37"/>
        <v>0</v>
      </c>
      <c r="O50" s="11"/>
      <c r="P50" s="11"/>
      <c r="R50" s="13"/>
      <c r="S50" s="13"/>
      <c r="T50" s="13"/>
      <c r="U50" s="13"/>
      <c r="V50" s="12">
        <v>1.504</v>
      </c>
      <c r="W50" s="12">
        <v>7.2402937652224297</v>
      </c>
      <c r="X50" s="12">
        <v>19.033939853307182</v>
      </c>
      <c r="Y50" s="12">
        <v>-21.073233618529613</v>
      </c>
      <c r="Z50" s="12">
        <v>88.97</v>
      </c>
      <c r="AA50" s="12">
        <v>38.598999999999997</v>
      </c>
      <c r="AB50" s="12">
        <v>31.93</v>
      </c>
      <c r="AC50" s="12">
        <v>-20.405999999999999</v>
      </c>
      <c r="BB50" s="8" t="s">
        <v>75</v>
      </c>
    </row>
    <row r="51" spans="2:54" x14ac:dyDescent="0.2">
      <c r="B51" s="19" t="s">
        <v>50</v>
      </c>
      <c r="C51" s="45" t="s">
        <v>187</v>
      </c>
      <c r="D51" s="19"/>
      <c r="E51" s="11"/>
      <c r="F51" s="11"/>
      <c r="G51" s="11">
        <f t="shared" si="37"/>
        <v>26.736000000000001</v>
      </c>
      <c r="H51" s="11">
        <f t="shared" si="37"/>
        <v>0</v>
      </c>
      <c r="I51" s="11">
        <f t="shared" si="37"/>
        <v>0</v>
      </c>
      <c r="J51" s="11">
        <f t="shared" si="37"/>
        <v>0</v>
      </c>
      <c r="K51" s="11">
        <f t="shared" si="37"/>
        <v>0</v>
      </c>
      <c r="L51" s="11">
        <f t="shared" si="37"/>
        <v>0</v>
      </c>
      <c r="M51" s="11">
        <f t="shared" si="37"/>
        <v>0</v>
      </c>
      <c r="N51" s="11">
        <f t="shared" si="37"/>
        <v>0</v>
      </c>
      <c r="O51" s="11"/>
      <c r="P51" s="11"/>
      <c r="R51" s="13"/>
      <c r="S51" s="13"/>
      <c r="T51" s="13"/>
      <c r="U51" s="13"/>
      <c r="V51" s="12">
        <v>0</v>
      </c>
      <c r="W51" s="12">
        <v>0</v>
      </c>
      <c r="X51" s="12">
        <v>0</v>
      </c>
      <c r="Y51" s="12">
        <v>26.736000000000001</v>
      </c>
      <c r="Z51" s="12">
        <v>0</v>
      </c>
      <c r="AA51" s="12">
        <v>0</v>
      </c>
      <c r="AB51" s="12">
        <v>0</v>
      </c>
      <c r="AC51" s="12">
        <v>0</v>
      </c>
      <c r="BB51" s="8" t="s">
        <v>75</v>
      </c>
    </row>
    <row r="52" spans="2:54" x14ac:dyDescent="0.2">
      <c r="E52" s="11"/>
      <c r="F52" s="11"/>
      <c r="R52" s="13"/>
      <c r="S52" s="13"/>
      <c r="T52" s="13"/>
      <c r="U52" s="13"/>
      <c r="V52" s="12"/>
      <c r="W52" s="12"/>
      <c r="X52" s="12"/>
      <c r="Y52" s="12"/>
      <c r="Z52" s="12"/>
      <c r="AA52" s="12"/>
      <c r="AB52" s="12"/>
      <c r="AC52" s="12"/>
      <c r="BB52" s="8" t="s">
        <v>75</v>
      </c>
    </row>
    <row r="53" spans="2:54" s="2" customFormat="1" x14ac:dyDescent="0.2">
      <c r="B53" s="2" t="s">
        <v>51</v>
      </c>
      <c r="E53" s="11"/>
      <c r="F53" s="11"/>
      <c r="R53" s="13"/>
      <c r="S53" s="13"/>
      <c r="T53" s="13"/>
      <c r="U53" s="13"/>
      <c r="V53" s="16"/>
      <c r="W53" s="16"/>
      <c r="X53" s="16"/>
      <c r="Y53" s="16"/>
      <c r="Z53" s="16"/>
      <c r="AA53" s="16"/>
      <c r="AB53" s="16"/>
      <c r="AC53" s="16"/>
      <c r="AE53" s="1"/>
      <c r="BB53" s="83" t="s">
        <v>75</v>
      </c>
    </row>
    <row r="54" spans="2:54" x14ac:dyDescent="0.2">
      <c r="B54" s="19" t="s">
        <v>52</v>
      </c>
      <c r="C54" s="45" t="s">
        <v>187</v>
      </c>
      <c r="D54" s="19"/>
      <c r="E54" s="11"/>
      <c r="F54" s="11"/>
      <c r="G54" s="11">
        <f t="shared" ref="G54:N61" si="39">+SUMIFS(54:54,$6:$6,G$3)</f>
        <v>49.832999999999998</v>
      </c>
      <c r="H54" s="11">
        <f t="shared" si="39"/>
        <v>-62.351000000000006</v>
      </c>
      <c r="I54" s="11">
        <f t="shared" ca="1" si="39"/>
        <v>30.88726727504995</v>
      </c>
      <c r="J54" s="11">
        <f t="shared" ca="1" si="39"/>
        <v>-14.837697157345829</v>
      </c>
      <c r="K54" s="11">
        <f t="shared" ca="1" si="39"/>
        <v>-10.284506655344387</v>
      </c>
      <c r="L54" s="11">
        <f t="shared" ca="1" si="39"/>
        <v>-11.329307991691877</v>
      </c>
      <c r="M54" s="11">
        <f t="shared" ca="1" si="39"/>
        <v>-12.488378665328582</v>
      </c>
      <c r="N54" s="11">
        <f t="shared" ca="1" si="39"/>
        <v>-13.284785791348526</v>
      </c>
      <c r="O54" s="11"/>
      <c r="P54" s="11"/>
      <c r="R54" s="13"/>
      <c r="S54" s="13"/>
      <c r="T54" s="13"/>
      <c r="U54" s="13"/>
      <c r="V54" s="12">
        <v>-10.46</v>
      </c>
      <c r="W54" s="12">
        <v>18.364000000000001</v>
      </c>
      <c r="X54" s="12">
        <v>-0.92300000000000004</v>
      </c>
      <c r="Y54" s="12">
        <v>42.851999999999997</v>
      </c>
      <c r="Z54" s="12">
        <v>-34.798000000000002</v>
      </c>
      <c r="AA54" s="12">
        <v>-56.688000000000002</v>
      </c>
      <c r="AB54" s="12">
        <v>20.053000000000001</v>
      </c>
      <c r="AC54" s="12">
        <v>9.0820000000000007</v>
      </c>
      <c r="AD54" s="11">
        <f ca="1">+AC103-AD103</f>
        <v>19.169358078433163</v>
      </c>
      <c r="AE54" s="11">
        <f t="shared" ref="AE54:BA54" ca="1" si="40">+AD103-AE103</f>
        <v>-39.041922141185381</v>
      </c>
      <c r="AF54" s="11">
        <f t="shared" ca="1" si="40"/>
        <v>5.8129645112296089</v>
      </c>
      <c r="AG54" s="11">
        <f t="shared" ca="1" si="40"/>
        <v>44.94686682657256</v>
      </c>
      <c r="AH54" s="11">
        <f t="shared" ca="1" si="40"/>
        <v>-27.900333542064047</v>
      </c>
      <c r="AI54" s="11">
        <f t="shared" ca="1" si="40"/>
        <v>-43.956102446433249</v>
      </c>
      <c r="AJ54" s="11">
        <f t="shared" ca="1" si="40"/>
        <v>6.5156565987229556</v>
      </c>
      <c r="AK54" s="11">
        <f t="shared" ca="1" si="40"/>
        <v>50.503082232428511</v>
      </c>
      <c r="AL54" s="11">
        <f t="shared" ca="1" si="40"/>
        <v>-24.644709659731348</v>
      </c>
      <c r="AM54" s="11">
        <f t="shared" ca="1" si="40"/>
        <v>-49.370932003774072</v>
      </c>
      <c r="AN54" s="11">
        <f t="shared" ca="1" si="40"/>
        <v>7.1469485431962596</v>
      </c>
      <c r="AO54" s="11">
        <f t="shared" ca="1" si="40"/>
        <v>56.584186464964773</v>
      </c>
      <c r="AP54" s="11">
        <f t="shared" ca="1" si="40"/>
        <v>-25.251126537633837</v>
      </c>
      <c r="AQ54" s="11">
        <f t="shared" ca="1" si="40"/>
        <v>-57.315731727314699</v>
      </c>
      <c r="AR54" s="11">
        <f t="shared" ca="1" si="40"/>
        <v>7.8438193211270288</v>
      </c>
      <c r="AS54" s="11">
        <f t="shared" ca="1" si="40"/>
        <v>63.39373095212963</v>
      </c>
      <c r="AT54" s="11">
        <f t="shared" ca="1" si="40"/>
        <v>-29.892681347423348</v>
      </c>
      <c r="AU54" s="11">
        <f t="shared" ca="1" si="40"/>
        <v>-62.225036930434896</v>
      </c>
      <c r="AV54" s="11">
        <f t="shared" ca="1" si="40"/>
        <v>8.6132494444332224</v>
      </c>
      <c r="AW54" s="11">
        <f t="shared" ca="1" si="40"/>
        <v>71.01609016809644</v>
      </c>
      <c r="AX54" s="11">
        <f t="shared" ca="1" si="40"/>
        <v>-32.39854912199209</v>
      </c>
      <c r="AY54" s="11">
        <f t="shared" ca="1" si="40"/>
        <v>-69.48373424477461</v>
      </c>
      <c r="AZ54" s="11">
        <f t="shared" ca="1" si="40"/>
        <v>9.4350227356293885</v>
      </c>
      <c r="BA54" s="11">
        <f t="shared" ca="1" si="40"/>
        <v>79.162474839788786</v>
      </c>
      <c r="BB54" s="8" t="s">
        <v>75</v>
      </c>
    </row>
    <row r="55" spans="2:54" x14ac:dyDescent="0.2">
      <c r="B55" s="19" t="s">
        <v>53</v>
      </c>
      <c r="C55" s="45" t="s">
        <v>187</v>
      </c>
      <c r="D55" s="19"/>
      <c r="E55" s="11"/>
      <c r="F55" s="11"/>
      <c r="G55" s="11">
        <f t="shared" si="39"/>
        <v>-6.4510000000000005</v>
      </c>
      <c r="H55" s="11">
        <f t="shared" si="39"/>
        <v>-9.9639999999999986</v>
      </c>
      <c r="I55" s="11">
        <f t="shared" si="39"/>
        <v>0</v>
      </c>
      <c r="J55" s="11">
        <f t="shared" si="39"/>
        <v>0</v>
      </c>
      <c r="K55" s="11">
        <f t="shared" si="39"/>
        <v>0</v>
      </c>
      <c r="L55" s="11">
        <f t="shared" si="39"/>
        <v>0</v>
      </c>
      <c r="M55" s="11">
        <f t="shared" si="39"/>
        <v>0</v>
      </c>
      <c r="N55" s="11">
        <f t="shared" si="39"/>
        <v>0</v>
      </c>
      <c r="O55" s="11"/>
      <c r="P55" s="11"/>
      <c r="R55" s="13"/>
      <c r="S55" s="13"/>
      <c r="T55" s="13"/>
      <c r="U55" s="13"/>
      <c r="V55" s="12">
        <v>-4.2039999999999997</v>
      </c>
      <c r="W55" s="12">
        <v>1.804</v>
      </c>
      <c r="X55" s="12">
        <v>-6.5860000000000003</v>
      </c>
      <c r="Y55" s="12">
        <v>2.5350000000000001</v>
      </c>
      <c r="Z55" s="12">
        <v>-9.7110000000000003</v>
      </c>
      <c r="AA55" s="12">
        <v>-2.9249999999999998</v>
      </c>
      <c r="AB55" s="12">
        <v>-3.927</v>
      </c>
      <c r="AC55" s="12">
        <v>6.5990000000000002</v>
      </c>
      <c r="BB55" s="8" t="s">
        <v>75</v>
      </c>
    </row>
    <row r="56" spans="2:54" x14ac:dyDescent="0.2">
      <c r="B56" s="19" t="s">
        <v>54</v>
      </c>
      <c r="C56" s="45" t="s">
        <v>187</v>
      </c>
      <c r="D56" s="19"/>
      <c r="E56" s="11"/>
      <c r="F56" s="11"/>
      <c r="G56" s="11">
        <f t="shared" si="39"/>
        <v>-15.285999999999998</v>
      </c>
      <c r="H56" s="11">
        <f t="shared" si="39"/>
        <v>-48.953000000000003</v>
      </c>
      <c r="I56" s="11">
        <f t="shared" si="39"/>
        <v>0</v>
      </c>
      <c r="J56" s="11">
        <f t="shared" si="39"/>
        <v>0</v>
      </c>
      <c r="K56" s="11">
        <f t="shared" si="39"/>
        <v>0</v>
      </c>
      <c r="L56" s="11">
        <f t="shared" si="39"/>
        <v>0</v>
      </c>
      <c r="M56" s="11">
        <f t="shared" si="39"/>
        <v>0</v>
      </c>
      <c r="N56" s="11">
        <f t="shared" si="39"/>
        <v>0</v>
      </c>
      <c r="O56" s="11"/>
      <c r="P56" s="11"/>
      <c r="R56" s="13"/>
      <c r="S56" s="13"/>
      <c r="T56" s="13"/>
      <c r="U56" s="13"/>
      <c r="V56" s="12">
        <v>-1.81</v>
      </c>
      <c r="W56" s="12">
        <v>-27.209</v>
      </c>
      <c r="X56" s="12">
        <v>2.2440963599999959</v>
      </c>
      <c r="Y56" s="12">
        <v>11.488903640000004</v>
      </c>
      <c r="Z56" s="12">
        <v>2.052</v>
      </c>
      <c r="AA56" s="12">
        <v>-27.187000000000001</v>
      </c>
      <c r="AB56" s="12">
        <v>-10.443</v>
      </c>
      <c r="AC56" s="12">
        <v>-13.375</v>
      </c>
      <c r="BB56" s="8" t="s">
        <v>75</v>
      </c>
    </row>
    <row r="57" spans="2:54" x14ac:dyDescent="0.2">
      <c r="B57" s="19" t="s">
        <v>55</v>
      </c>
      <c r="C57" s="45" t="s">
        <v>187</v>
      </c>
      <c r="D57" s="19"/>
      <c r="E57" s="11"/>
      <c r="F57" s="11"/>
      <c r="G57" s="11">
        <f t="shared" si="39"/>
        <v>-37.144000000000005</v>
      </c>
      <c r="H57" s="11">
        <f t="shared" si="39"/>
        <v>26.701000000000001</v>
      </c>
      <c r="I57" s="11">
        <f t="shared" si="39"/>
        <v>0</v>
      </c>
      <c r="J57" s="11">
        <f t="shared" si="39"/>
        <v>0</v>
      </c>
      <c r="K57" s="11">
        <f t="shared" si="39"/>
        <v>0</v>
      </c>
      <c r="L57" s="11">
        <f t="shared" si="39"/>
        <v>0</v>
      </c>
      <c r="M57" s="11">
        <f t="shared" si="39"/>
        <v>0</v>
      </c>
      <c r="N57" s="11">
        <f t="shared" si="39"/>
        <v>0</v>
      </c>
      <c r="O57" s="11"/>
      <c r="P57" s="11"/>
      <c r="R57" s="13"/>
      <c r="S57" s="13"/>
      <c r="T57" s="13"/>
      <c r="U57" s="13"/>
      <c r="V57" s="12">
        <v>-20.224</v>
      </c>
      <c r="W57" s="12">
        <v>16.324999999999999</v>
      </c>
      <c r="X57" s="12">
        <v>-33.78</v>
      </c>
      <c r="Y57" s="12">
        <v>0.53500000000000003</v>
      </c>
      <c r="Z57" s="12">
        <v>6.1580000000000004</v>
      </c>
      <c r="AA57" s="12">
        <v>25.422999999999998</v>
      </c>
      <c r="AB57" s="12">
        <v>-31.861000000000001</v>
      </c>
      <c r="AC57" s="12">
        <v>26.981000000000002</v>
      </c>
      <c r="BB57" s="8" t="s">
        <v>75</v>
      </c>
    </row>
    <row r="58" spans="2:54" x14ac:dyDescent="0.2">
      <c r="B58" s="19" t="s">
        <v>56</v>
      </c>
      <c r="C58" s="45" t="s">
        <v>187</v>
      </c>
      <c r="D58" s="19"/>
      <c r="E58" s="11"/>
      <c r="F58" s="11"/>
      <c r="G58" s="11">
        <f t="shared" si="39"/>
        <v>-39.533000000000001</v>
      </c>
      <c r="H58" s="11">
        <f t="shared" si="39"/>
        <v>10.793000000000003</v>
      </c>
      <c r="I58" s="11">
        <f t="shared" si="39"/>
        <v>0</v>
      </c>
      <c r="J58" s="11">
        <f t="shared" si="39"/>
        <v>0</v>
      </c>
      <c r="K58" s="11">
        <f t="shared" si="39"/>
        <v>0</v>
      </c>
      <c r="L58" s="11">
        <f t="shared" si="39"/>
        <v>0</v>
      </c>
      <c r="M58" s="11">
        <f t="shared" si="39"/>
        <v>0</v>
      </c>
      <c r="N58" s="11">
        <f t="shared" si="39"/>
        <v>0</v>
      </c>
      <c r="O58" s="11"/>
      <c r="P58" s="11"/>
      <c r="R58" s="13"/>
      <c r="S58" s="13"/>
      <c r="T58" s="13"/>
      <c r="U58" s="13"/>
      <c r="V58" s="12">
        <v>-20.684999999999999</v>
      </c>
      <c r="W58" s="12">
        <v>2.62</v>
      </c>
      <c r="X58" s="12">
        <v>-0.45500000000000002</v>
      </c>
      <c r="Y58" s="12">
        <v>-21.013000000000002</v>
      </c>
      <c r="Z58" s="12">
        <v>-15.904</v>
      </c>
      <c r="AA58" s="12">
        <v>-0.73699999999999999</v>
      </c>
      <c r="AB58" s="12">
        <v>5.4219999999999997</v>
      </c>
      <c r="AC58" s="12">
        <v>22.012</v>
      </c>
      <c r="BB58" s="8" t="s">
        <v>75</v>
      </c>
    </row>
    <row r="59" spans="2:54" x14ac:dyDescent="0.2">
      <c r="B59" s="19" t="s">
        <v>57</v>
      </c>
      <c r="C59" s="45" t="s">
        <v>187</v>
      </c>
      <c r="D59" s="19"/>
      <c r="E59" s="11"/>
      <c r="F59" s="11"/>
      <c r="G59" s="11">
        <f t="shared" si="39"/>
        <v>-6.4129999999999994</v>
      </c>
      <c r="H59" s="11">
        <f t="shared" si="39"/>
        <v>-29.018000000000001</v>
      </c>
      <c r="I59" s="11">
        <f t="shared" si="39"/>
        <v>0</v>
      </c>
      <c r="J59" s="11">
        <f t="shared" si="39"/>
        <v>0</v>
      </c>
      <c r="K59" s="11">
        <f t="shared" si="39"/>
        <v>0</v>
      </c>
      <c r="L59" s="11">
        <f t="shared" si="39"/>
        <v>0</v>
      </c>
      <c r="M59" s="11">
        <f t="shared" si="39"/>
        <v>0</v>
      </c>
      <c r="N59" s="11">
        <f t="shared" si="39"/>
        <v>0</v>
      </c>
      <c r="O59" s="11"/>
      <c r="P59" s="11"/>
      <c r="R59" s="13"/>
      <c r="S59" s="13"/>
      <c r="T59" s="13"/>
      <c r="U59" s="13"/>
      <c r="V59" s="12">
        <v>0</v>
      </c>
      <c r="W59" s="12">
        <v>-5.0000000000000001E-3</v>
      </c>
      <c r="X59" s="12">
        <v>-4.8819999999999997</v>
      </c>
      <c r="Y59" s="12">
        <v>-1.526</v>
      </c>
      <c r="Z59" s="12">
        <v>-0.627</v>
      </c>
      <c r="AA59" s="12">
        <v>-0.312</v>
      </c>
      <c r="AB59" s="12">
        <v>-0.56499999999999995</v>
      </c>
      <c r="AC59" s="12">
        <v>-27.513999999999999</v>
      </c>
      <c r="BB59" s="8" t="s">
        <v>75</v>
      </c>
    </row>
    <row r="60" spans="2:54" x14ac:dyDescent="0.2">
      <c r="B60" s="19" t="s">
        <v>58</v>
      </c>
      <c r="C60" s="45" t="s">
        <v>187</v>
      </c>
      <c r="D60" s="19"/>
      <c r="E60" s="11"/>
      <c r="F60" s="11"/>
      <c r="G60" s="11">
        <f t="shared" si="39"/>
        <v>-0.24600000000000002</v>
      </c>
      <c r="H60" s="11">
        <f t="shared" si="39"/>
        <v>-2.7869999999999999</v>
      </c>
      <c r="I60" s="11">
        <f t="shared" si="39"/>
        <v>0</v>
      </c>
      <c r="J60" s="11">
        <f t="shared" si="39"/>
        <v>0</v>
      </c>
      <c r="K60" s="11">
        <f t="shared" si="39"/>
        <v>0</v>
      </c>
      <c r="L60" s="11">
        <f t="shared" si="39"/>
        <v>0</v>
      </c>
      <c r="M60" s="11">
        <f t="shared" si="39"/>
        <v>0</v>
      </c>
      <c r="N60" s="11">
        <f t="shared" si="39"/>
        <v>0</v>
      </c>
      <c r="O60" s="11"/>
      <c r="P60" s="11"/>
      <c r="R60" s="13"/>
      <c r="S60" s="13"/>
      <c r="T60" s="13"/>
      <c r="U60" s="13"/>
      <c r="V60" s="12">
        <v>-3.3000000000000002E-2</v>
      </c>
      <c r="W60" s="12">
        <v>0.10199999999999999</v>
      </c>
      <c r="X60" s="12">
        <v>-0.52700000000000002</v>
      </c>
      <c r="Y60" s="12">
        <v>0.21199999999999999</v>
      </c>
      <c r="Z60" s="12">
        <v>-1.855</v>
      </c>
      <c r="AA60" s="12">
        <v>-0.44</v>
      </c>
      <c r="AB60" s="12">
        <v>-0.26200000000000001</v>
      </c>
      <c r="AC60" s="12">
        <v>-0.23</v>
      </c>
      <c r="BB60" s="8" t="s">
        <v>75</v>
      </c>
    </row>
    <row r="61" spans="2:54" x14ac:dyDescent="0.2">
      <c r="B61" s="19" t="s">
        <v>59</v>
      </c>
      <c r="C61" s="45" t="s">
        <v>187</v>
      </c>
      <c r="D61" s="19"/>
      <c r="E61" s="11"/>
      <c r="F61" s="11"/>
      <c r="G61" s="11">
        <f t="shared" si="39"/>
        <v>-5.7940000000000005</v>
      </c>
      <c r="H61" s="11">
        <f t="shared" si="39"/>
        <v>-9.4859999999999989</v>
      </c>
      <c r="I61" s="11">
        <f t="shared" si="39"/>
        <v>0</v>
      </c>
      <c r="J61" s="11">
        <f t="shared" si="39"/>
        <v>0</v>
      </c>
      <c r="K61" s="11">
        <f t="shared" si="39"/>
        <v>0</v>
      </c>
      <c r="L61" s="11">
        <f t="shared" si="39"/>
        <v>0</v>
      </c>
      <c r="M61" s="11">
        <f t="shared" si="39"/>
        <v>0</v>
      </c>
      <c r="N61" s="11">
        <f t="shared" si="39"/>
        <v>0</v>
      </c>
      <c r="O61" s="11"/>
      <c r="P61" s="11"/>
      <c r="R61" s="13"/>
      <c r="S61" s="13"/>
      <c r="T61" s="13"/>
      <c r="U61" s="13"/>
      <c r="V61" s="12">
        <v>-15.005000000000001</v>
      </c>
      <c r="W61" s="12">
        <v>-1.66</v>
      </c>
      <c r="X61" s="12">
        <v>-7.3090000000000002</v>
      </c>
      <c r="Y61" s="12">
        <v>18.18</v>
      </c>
      <c r="Z61" s="12">
        <v>-0.71499999999999997</v>
      </c>
      <c r="AA61" s="12">
        <v>3.266</v>
      </c>
      <c r="AB61" s="12">
        <v>0.317</v>
      </c>
      <c r="AC61" s="12">
        <v>-12.353999999999999</v>
      </c>
      <c r="BB61" s="8" t="s">
        <v>75</v>
      </c>
    </row>
    <row r="62" spans="2:54" x14ac:dyDescent="0.2">
      <c r="E62" s="11"/>
      <c r="F62" s="11"/>
      <c r="R62" s="13"/>
      <c r="S62" s="13"/>
      <c r="T62" s="13"/>
      <c r="U62" s="13"/>
      <c r="V62" s="12"/>
      <c r="W62" s="12"/>
      <c r="X62" s="12"/>
      <c r="Y62" s="12"/>
      <c r="Z62" s="12"/>
      <c r="AA62" s="12"/>
      <c r="AB62" s="12"/>
      <c r="AC62" s="12"/>
      <c r="BB62" s="8" t="s">
        <v>75</v>
      </c>
    </row>
    <row r="63" spans="2:54" s="2" customFormat="1" x14ac:dyDescent="0.2">
      <c r="B63" s="2" t="s">
        <v>76</v>
      </c>
      <c r="E63" s="11"/>
      <c r="F63" s="11"/>
      <c r="R63" s="13"/>
      <c r="S63" s="13"/>
      <c r="T63" s="13"/>
      <c r="U63" s="13"/>
      <c r="V63" s="16"/>
      <c r="W63" s="16"/>
      <c r="X63" s="16"/>
      <c r="Y63" s="16"/>
      <c r="Z63" s="16"/>
      <c r="AA63" s="16"/>
      <c r="AB63" s="16"/>
      <c r="AC63" s="16"/>
      <c r="AE63" s="1"/>
      <c r="BB63" s="83" t="s">
        <v>75</v>
      </c>
    </row>
    <row r="64" spans="2:54" x14ac:dyDescent="0.2">
      <c r="B64" s="19" t="s">
        <v>60</v>
      </c>
      <c r="C64" s="45" t="s">
        <v>187</v>
      </c>
      <c r="D64" s="19"/>
      <c r="E64" s="11"/>
      <c r="F64" s="11"/>
      <c r="G64" s="11">
        <f t="shared" ref="G64:N72" si="41">+SUMIFS(64:64,$6:$6,G$3)</f>
        <v>-43.07</v>
      </c>
      <c r="H64" s="11">
        <f t="shared" si="41"/>
        <v>15.756000000000004</v>
      </c>
      <c r="I64" s="11">
        <f t="shared" ca="1" si="41"/>
        <v>-8.3527088843113972</v>
      </c>
      <c r="J64" s="11">
        <f t="shared" ca="1" si="41"/>
        <v>7.6308156809207048</v>
      </c>
      <c r="K64" s="11">
        <f t="shared" ca="1" si="41"/>
        <v>5.2891748513199701</v>
      </c>
      <c r="L64" s="11">
        <f t="shared" ca="1" si="41"/>
        <v>5.8265012528701163</v>
      </c>
      <c r="M64" s="11">
        <f t="shared" ca="1" si="41"/>
        <v>6.4225947421689824</v>
      </c>
      <c r="N64" s="11">
        <f t="shared" ca="1" si="41"/>
        <v>6.8321755498363785</v>
      </c>
      <c r="O64" s="11"/>
      <c r="P64" s="11"/>
      <c r="R64" s="13"/>
      <c r="S64" s="13"/>
      <c r="T64" s="13"/>
      <c r="U64" s="13"/>
      <c r="V64" s="12">
        <v>14.582000000000001</v>
      </c>
      <c r="W64" s="12">
        <v>-38.862000000000002</v>
      </c>
      <c r="X64" s="12">
        <v>11.358000000000001</v>
      </c>
      <c r="Y64" s="12">
        <v>-30.148</v>
      </c>
      <c r="Z64" s="12">
        <v>56.119</v>
      </c>
      <c r="AA64" s="12">
        <v>0.14799999999999999</v>
      </c>
      <c r="AB64" s="12">
        <v>-22.126000000000001</v>
      </c>
      <c r="AC64" s="12">
        <v>-18.385000000000002</v>
      </c>
      <c r="AD64" s="11">
        <f ca="1">+AD133-AC133</f>
        <v>-2.3263555831942</v>
      </c>
      <c r="AE64" s="11">
        <f t="shared" ref="AE64:BA64" ca="1" si="42">+AE133-AD133</f>
        <v>20.078702815466769</v>
      </c>
      <c r="AF64" s="11">
        <f t="shared" ca="1" si="42"/>
        <v>-2.9895246057752303</v>
      </c>
      <c r="AG64" s="11">
        <f t="shared" ca="1" si="42"/>
        <v>-23.115531510808736</v>
      </c>
      <c r="AH64" s="11">
        <f t="shared" ca="1" si="42"/>
        <v>14.348742964490086</v>
      </c>
      <c r="AI64" s="11">
        <f t="shared" ca="1" si="42"/>
        <v>22.605995543879956</v>
      </c>
      <c r="AJ64" s="11">
        <f t="shared" ca="1" si="42"/>
        <v>-3.3509091079146742</v>
      </c>
      <c r="AK64" s="11">
        <f t="shared" ca="1" si="42"/>
        <v>-25.973013719534663</v>
      </c>
      <c r="AL64" s="11">
        <f t="shared" ca="1" si="42"/>
        <v>12.674422110718979</v>
      </c>
      <c r="AM64" s="11">
        <f t="shared" ca="1" si="42"/>
        <v>25.390765030512384</v>
      </c>
      <c r="AN64" s="11">
        <f t="shared" ca="1" si="42"/>
        <v>-3.6755735365009343</v>
      </c>
      <c r="AO64" s="11">
        <f t="shared" ca="1" si="42"/>
        <v>-29.100438753410458</v>
      </c>
      <c r="AP64" s="11">
        <f t="shared" ca="1" si="42"/>
        <v>12.986293647925976</v>
      </c>
      <c r="AQ64" s="11">
        <f t="shared" ca="1" si="42"/>
        <v>29.476662031190415</v>
      </c>
      <c r="AR64" s="11">
        <f t="shared" ca="1" si="42"/>
        <v>-4.0339642222938892</v>
      </c>
      <c r="AS64" s="11">
        <f t="shared" ca="1" si="42"/>
        <v>-32.602490203952385</v>
      </c>
      <c r="AT64" s="11">
        <f t="shared" ca="1" si="42"/>
        <v>15.373378978674864</v>
      </c>
      <c r="AU64" s="11">
        <f t="shared" ca="1" si="42"/>
        <v>32.001447564223653</v>
      </c>
      <c r="AV64" s="11">
        <f t="shared" ca="1" si="42"/>
        <v>-4.429671142851376</v>
      </c>
      <c r="AW64" s="11">
        <f t="shared" ca="1" si="42"/>
        <v>-36.522560657878159</v>
      </c>
      <c r="AX64" s="11">
        <f t="shared" ca="1" si="42"/>
        <v>16.662110977024497</v>
      </c>
      <c r="AY64" s="11">
        <f t="shared" ca="1" si="42"/>
        <v>35.734491897312665</v>
      </c>
      <c r="AZ64" s="11">
        <f t="shared" ca="1" si="42"/>
        <v>-4.8522974068951328</v>
      </c>
      <c r="BA64" s="11">
        <f t="shared" ca="1" si="42"/>
        <v>-40.712129917605651</v>
      </c>
      <c r="BB64" s="8" t="s">
        <v>75</v>
      </c>
    </row>
    <row r="65" spans="2:54" x14ac:dyDescent="0.2">
      <c r="B65" s="19" t="s">
        <v>61</v>
      </c>
      <c r="C65" s="45" t="s">
        <v>187</v>
      </c>
      <c r="D65" s="19"/>
      <c r="E65" s="11"/>
      <c r="F65" s="11"/>
      <c r="G65" s="11">
        <f t="shared" si="41"/>
        <v>0</v>
      </c>
      <c r="H65" s="11">
        <f t="shared" si="41"/>
        <v>0</v>
      </c>
      <c r="I65" s="11">
        <f t="shared" si="41"/>
        <v>0</v>
      </c>
      <c r="J65" s="11">
        <f t="shared" si="41"/>
        <v>0</v>
      </c>
      <c r="K65" s="11">
        <f t="shared" si="41"/>
        <v>0</v>
      </c>
      <c r="L65" s="11">
        <f t="shared" si="41"/>
        <v>0</v>
      </c>
      <c r="M65" s="11">
        <f t="shared" si="41"/>
        <v>0</v>
      </c>
      <c r="N65" s="11">
        <f t="shared" si="41"/>
        <v>0</v>
      </c>
      <c r="O65" s="11"/>
      <c r="P65" s="11"/>
      <c r="R65" s="13"/>
      <c r="S65" s="13"/>
      <c r="T65" s="13"/>
      <c r="U65" s="13"/>
      <c r="V65" s="12">
        <v>0</v>
      </c>
      <c r="W65" s="12">
        <v>0</v>
      </c>
      <c r="X65" s="12">
        <v>0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BB65" s="8" t="s">
        <v>75</v>
      </c>
    </row>
    <row r="66" spans="2:54" x14ac:dyDescent="0.2">
      <c r="B66" s="19" t="s">
        <v>62</v>
      </c>
      <c r="C66" s="45" t="s">
        <v>187</v>
      </c>
      <c r="D66" s="19"/>
      <c r="E66" s="11"/>
      <c r="F66" s="11"/>
      <c r="G66" s="11">
        <f t="shared" si="41"/>
        <v>-7.8390000000000004</v>
      </c>
      <c r="H66" s="11">
        <f t="shared" si="41"/>
        <v>3.88</v>
      </c>
      <c r="I66" s="11">
        <f t="shared" si="41"/>
        <v>0</v>
      </c>
      <c r="J66" s="11">
        <f t="shared" si="41"/>
        <v>0</v>
      </c>
      <c r="K66" s="11">
        <f t="shared" si="41"/>
        <v>0</v>
      </c>
      <c r="L66" s="11">
        <f t="shared" si="41"/>
        <v>0</v>
      </c>
      <c r="M66" s="11">
        <f t="shared" si="41"/>
        <v>0</v>
      </c>
      <c r="N66" s="11">
        <f t="shared" si="41"/>
        <v>0</v>
      </c>
      <c r="O66" s="11"/>
      <c r="P66" s="11"/>
      <c r="R66" s="13"/>
      <c r="S66" s="13"/>
      <c r="T66" s="13"/>
      <c r="U66" s="13"/>
      <c r="V66" s="12">
        <v>-6.1959999999999997</v>
      </c>
      <c r="W66" s="12">
        <v>-1.5529999999999999</v>
      </c>
      <c r="X66" s="12">
        <v>-4.4580000000000002</v>
      </c>
      <c r="Y66" s="12">
        <v>4.3680000000000003</v>
      </c>
      <c r="Z66" s="12">
        <v>-9.3140000000000001</v>
      </c>
      <c r="AA66" s="12">
        <v>6.1239999999999997</v>
      </c>
      <c r="AB66" s="12">
        <v>2.7</v>
      </c>
      <c r="AC66" s="12">
        <v>4.37</v>
      </c>
      <c r="BB66" s="8" t="s">
        <v>75</v>
      </c>
    </row>
    <row r="67" spans="2:54" x14ac:dyDescent="0.2">
      <c r="B67" s="19" t="s">
        <v>63</v>
      </c>
      <c r="C67" s="45" t="s">
        <v>187</v>
      </c>
      <c r="D67" s="19"/>
      <c r="E67" s="11"/>
      <c r="F67" s="11"/>
      <c r="G67" s="11">
        <f t="shared" si="41"/>
        <v>-3.149</v>
      </c>
      <c r="H67" s="11">
        <f t="shared" si="41"/>
        <v>8.4369999999999994</v>
      </c>
      <c r="I67" s="11">
        <f t="shared" si="41"/>
        <v>0</v>
      </c>
      <c r="J67" s="11">
        <f t="shared" si="41"/>
        <v>0</v>
      </c>
      <c r="K67" s="11">
        <f t="shared" si="41"/>
        <v>0</v>
      </c>
      <c r="L67" s="11">
        <f t="shared" si="41"/>
        <v>0</v>
      </c>
      <c r="M67" s="11">
        <f t="shared" si="41"/>
        <v>0</v>
      </c>
      <c r="N67" s="11">
        <f t="shared" si="41"/>
        <v>0</v>
      </c>
      <c r="O67" s="11"/>
      <c r="P67" s="11"/>
      <c r="R67" s="13"/>
      <c r="S67" s="13"/>
      <c r="T67" s="13"/>
      <c r="U67" s="13"/>
      <c r="V67" s="12">
        <v>-4.6260000000000003</v>
      </c>
      <c r="W67" s="12">
        <v>3.335</v>
      </c>
      <c r="X67" s="12">
        <v>5.0750000000000002</v>
      </c>
      <c r="Y67" s="12">
        <v>-6.9329999999999998</v>
      </c>
      <c r="Z67" s="12">
        <v>3.6890000000000001</v>
      </c>
      <c r="AA67" s="12">
        <v>4.7930000000000001</v>
      </c>
      <c r="AB67" s="12">
        <v>-4.1929999999999996</v>
      </c>
      <c r="AC67" s="12">
        <v>4.1479999999999997</v>
      </c>
      <c r="BB67" s="8" t="s">
        <v>75</v>
      </c>
    </row>
    <row r="68" spans="2:54" x14ac:dyDescent="0.2">
      <c r="B68" s="19" t="s">
        <v>64</v>
      </c>
      <c r="C68" s="45" t="s">
        <v>187</v>
      </c>
      <c r="D68" s="19"/>
      <c r="E68" s="11"/>
      <c r="F68" s="11"/>
      <c r="G68" s="11">
        <f t="shared" si="41"/>
        <v>-20.507000000000001</v>
      </c>
      <c r="H68" s="11">
        <f t="shared" si="41"/>
        <v>-18.367999999999999</v>
      </c>
      <c r="I68" s="11">
        <f t="shared" si="41"/>
        <v>0</v>
      </c>
      <c r="J68" s="11">
        <f t="shared" si="41"/>
        <v>0</v>
      </c>
      <c r="K68" s="11">
        <f t="shared" si="41"/>
        <v>0</v>
      </c>
      <c r="L68" s="11">
        <f t="shared" si="41"/>
        <v>0</v>
      </c>
      <c r="M68" s="11">
        <f t="shared" si="41"/>
        <v>0</v>
      </c>
      <c r="N68" s="11">
        <f t="shared" si="41"/>
        <v>0</v>
      </c>
      <c r="O68" s="11"/>
      <c r="P68" s="11"/>
      <c r="R68" s="13"/>
      <c r="S68" s="13"/>
      <c r="T68" s="13"/>
      <c r="U68" s="13"/>
      <c r="V68" s="12">
        <v>7.0000000000000007E-2</v>
      </c>
      <c r="W68" s="12">
        <v>-23.155000000000001</v>
      </c>
      <c r="X68" s="12">
        <v>-0.36299999999999999</v>
      </c>
      <c r="Y68" s="12">
        <v>2.9409999999999998</v>
      </c>
      <c r="Z68" s="12">
        <v>-20.204000000000001</v>
      </c>
      <c r="AA68" s="12">
        <v>-1.383</v>
      </c>
      <c r="AB68" s="12">
        <v>-4.6970000000000001</v>
      </c>
      <c r="AC68" s="12">
        <v>7.9160000000000004</v>
      </c>
      <c r="BB68" s="8" t="s">
        <v>75</v>
      </c>
    </row>
    <row r="69" spans="2:54" x14ac:dyDescent="0.2">
      <c r="B69" s="19" t="s">
        <v>65</v>
      </c>
      <c r="C69" s="45" t="s">
        <v>187</v>
      </c>
      <c r="D69" s="19"/>
      <c r="E69" s="11"/>
      <c r="F69" s="11"/>
      <c r="G69" s="11">
        <f t="shared" si="41"/>
        <v>-7.6100000000000012</v>
      </c>
      <c r="H69" s="11">
        <f t="shared" si="41"/>
        <v>2.7720000000000002</v>
      </c>
      <c r="I69" s="11">
        <f t="shared" si="41"/>
        <v>0</v>
      </c>
      <c r="J69" s="11">
        <f t="shared" si="41"/>
        <v>0</v>
      </c>
      <c r="K69" s="11">
        <f t="shared" si="41"/>
        <v>0</v>
      </c>
      <c r="L69" s="11">
        <f t="shared" si="41"/>
        <v>0</v>
      </c>
      <c r="M69" s="11">
        <f t="shared" si="41"/>
        <v>0</v>
      </c>
      <c r="N69" s="11">
        <f t="shared" si="41"/>
        <v>0</v>
      </c>
      <c r="O69" s="11"/>
      <c r="P69" s="11"/>
      <c r="R69" s="13"/>
      <c r="S69" s="13"/>
      <c r="T69" s="13"/>
      <c r="U69" s="13"/>
      <c r="V69" s="12">
        <v>-5.3570000000000002</v>
      </c>
      <c r="W69" s="12">
        <v>4.4630000000000001</v>
      </c>
      <c r="X69" s="12">
        <v>7.3529999999999998</v>
      </c>
      <c r="Y69" s="12">
        <v>-14.069000000000001</v>
      </c>
      <c r="Z69" s="12">
        <v>4.3579999999999997</v>
      </c>
      <c r="AA69" s="12">
        <v>6.3410000000000002</v>
      </c>
      <c r="AB69" s="12">
        <v>-0.39800000000000002</v>
      </c>
      <c r="AC69" s="12">
        <v>-7.5289999999999999</v>
      </c>
      <c r="BB69" s="8" t="s">
        <v>75</v>
      </c>
    </row>
    <row r="70" spans="2:54" x14ac:dyDescent="0.2">
      <c r="B70" s="19" t="s">
        <v>66</v>
      </c>
      <c r="C70" s="45" t="s">
        <v>187</v>
      </c>
      <c r="D70" s="19"/>
      <c r="E70" s="11"/>
      <c r="F70" s="11"/>
      <c r="G70" s="11">
        <f t="shared" si="41"/>
        <v>-161.911</v>
      </c>
      <c r="H70" s="11">
        <f t="shared" si="41"/>
        <v>-194.69399999999999</v>
      </c>
      <c r="I70" s="11">
        <f t="shared" si="41"/>
        <v>0</v>
      </c>
      <c r="J70" s="11">
        <f t="shared" si="41"/>
        <v>0</v>
      </c>
      <c r="K70" s="11">
        <f t="shared" si="41"/>
        <v>0</v>
      </c>
      <c r="L70" s="11">
        <f t="shared" si="41"/>
        <v>0</v>
      </c>
      <c r="M70" s="11">
        <f t="shared" si="41"/>
        <v>0</v>
      </c>
      <c r="N70" s="11">
        <f t="shared" si="41"/>
        <v>0</v>
      </c>
      <c r="O70" s="11"/>
      <c r="P70" s="11"/>
      <c r="R70" s="13"/>
      <c r="S70" s="13"/>
      <c r="T70" s="13"/>
      <c r="U70" s="13"/>
      <c r="V70" s="12">
        <v>-74.813999999999993</v>
      </c>
      <c r="W70" s="12">
        <v>-5.431</v>
      </c>
      <c r="X70" s="12">
        <v>-78.062928758260213</v>
      </c>
      <c r="Y70" s="12">
        <v>-3.6030712417397881</v>
      </c>
      <c r="Z70" s="12">
        <v>-85.488</v>
      </c>
      <c r="AA70" s="12">
        <v>-9.3059999999999992</v>
      </c>
      <c r="AB70" s="12">
        <v>-93.509</v>
      </c>
      <c r="AC70" s="12">
        <v>-6.391</v>
      </c>
      <c r="BB70" s="8" t="s">
        <v>75</v>
      </c>
    </row>
    <row r="71" spans="2:54" x14ac:dyDescent="0.2">
      <c r="B71" s="19" t="s">
        <v>67</v>
      </c>
      <c r="C71" s="45" t="s">
        <v>187</v>
      </c>
      <c r="D71" s="19"/>
      <c r="E71" s="11"/>
      <c r="F71" s="11"/>
      <c r="G71" s="11">
        <f t="shared" si="41"/>
        <v>-40.473999999999997</v>
      </c>
      <c r="H71" s="11">
        <f t="shared" si="41"/>
        <v>-42.812000000000005</v>
      </c>
      <c r="I71" s="11">
        <f t="shared" si="41"/>
        <v>0</v>
      </c>
      <c r="J71" s="11">
        <f t="shared" si="41"/>
        <v>0</v>
      </c>
      <c r="K71" s="11">
        <f t="shared" si="41"/>
        <v>0</v>
      </c>
      <c r="L71" s="11">
        <f t="shared" si="41"/>
        <v>0</v>
      </c>
      <c r="M71" s="11">
        <f t="shared" si="41"/>
        <v>0</v>
      </c>
      <c r="N71" s="11">
        <f t="shared" si="41"/>
        <v>0</v>
      </c>
      <c r="O71" s="11"/>
      <c r="P71" s="11"/>
      <c r="R71" s="13"/>
      <c r="S71" s="13"/>
      <c r="T71" s="13"/>
      <c r="U71" s="13"/>
      <c r="V71" s="12">
        <v>-4.9859999999999998</v>
      </c>
      <c r="W71" s="12">
        <v>-3.2010063100000008</v>
      </c>
      <c r="X71" s="12">
        <v>-3.4750000000000001</v>
      </c>
      <c r="Y71" s="12">
        <v>-28.811993689999998</v>
      </c>
      <c r="Z71" s="12">
        <v>-13.311</v>
      </c>
      <c r="AA71" s="12">
        <v>-6.7939999999999996</v>
      </c>
      <c r="AB71" s="12">
        <v>-14.628</v>
      </c>
      <c r="AC71" s="12">
        <v>-8.0790000000000006</v>
      </c>
      <c r="BB71" s="8" t="s">
        <v>75</v>
      </c>
    </row>
    <row r="72" spans="2:54" s="2" customFormat="1" x14ac:dyDescent="0.2">
      <c r="B72" s="2" t="s">
        <v>71</v>
      </c>
      <c r="C72" s="45" t="s">
        <v>187</v>
      </c>
      <c r="E72" s="11"/>
      <c r="F72" s="11"/>
      <c r="G72" s="13">
        <f t="shared" si="41"/>
        <v>126.68900000000009</v>
      </c>
      <c r="H72" s="13">
        <f t="shared" si="41"/>
        <v>238.43199999999999</v>
      </c>
      <c r="I72" s="13">
        <f t="shared" ca="1" si="41"/>
        <v>507.80278335514208</v>
      </c>
      <c r="J72" s="13">
        <f t="shared" ca="1" si="41"/>
        <v>608.88326955070295</v>
      </c>
      <c r="K72" s="13">
        <f t="shared" ca="1" si="41"/>
        <v>658.9780545160512</v>
      </c>
      <c r="L72" s="13">
        <f t="shared" ca="1" si="41"/>
        <v>749.13994399404112</v>
      </c>
      <c r="M72" s="13">
        <f t="shared" ca="1" si="41"/>
        <v>833.60100318502782</v>
      </c>
      <c r="N72" s="13">
        <f t="shared" ca="1" si="41"/>
        <v>923.51088206053032</v>
      </c>
      <c r="O72" s="13"/>
      <c r="P72" s="13"/>
      <c r="R72" s="13"/>
      <c r="S72" s="13"/>
      <c r="T72" s="13"/>
      <c r="U72" s="13"/>
      <c r="V72" s="13">
        <f t="shared" ref="V72:BA72" si="43">+SUM(V34:V71)</f>
        <v>-65.617508894823047</v>
      </c>
      <c r="W72" s="13">
        <f t="shared" si="43"/>
        <v>87.25253909727067</v>
      </c>
      <c r="X72" s="13">
        <f t="shared" si="43"/>
        <v>-6.4647377048567503</v>
      </c>
      <c r="Y72" s="13">
        <f t="shared" si="43"/>
        <v>111.51870750240921</v>
      </c>
      <c r="Z72" s="13">
        <f t="shared" si="43"/>
        <v>-29.844000000000015</v>
      </c>
      <c r="AA72" s="13">
        <f t="shared" si="43"/>
        <v>119.14500000000007</v>
      </c>
      <c r="AB72" s="13">
        <f t="shared" si="43"/>
        <v>24.539000686757475</v>
      </c>
      <c r="AC72" s="13">
        <f t="shared" si="43"/>
        <v>124.59199931324247</v>
      </c>
      <c r="AD72" s="13">
        <f t="shared" ca="1" si="43"/>
        <v>103.99110998065954</v>
      </c>
      <c r="AE72" s="13">
        <f t="shared" ca="1" si="43"/>
        <v>143.28424065597716</v>
      </c>
      <c r="AF72" s="13">
        <f t="shared" ca="1" si="43"/>
        <v>162.90148698609943</v>
      </c>
      <c r="AG72" s="13">
        <f t="shared" ca="1" si="43"/>
        <v>97.625945732405995</v>
      </c>
      <c r="AH72" s="13">
        <f t="shared" ca="1" si="43"/>
        <v>104.71195384985739</v>
      </c>
      <c r="AI72" s="13">
        <f t="shared" ca="1" si="43"/>
        <v>182.14676052936022</v>
      </c>
      <c r="AJ72" s="13">
        <f t="shared" ca="1" si="43"/>
        <v>197.03956412270605</v>
      </c>
      <c r="AK72" s="13">
        <f t="shared" ca="1" si="43"/>
        <v>124.98499104877925</v>
      </c>
      <c r="AL72" s="13">
        <f t="shared" ca="1" si="43"/>
        <v>113.74050880377519</v>
      </c>
      <c r="AM72" s="13">
        <f t="shared" ca="1" si="43"/>
        <v>199.09161191269078</v>
      </c>
      <c r="AN72" s="13">
        <f t="shared" ca="1" si="43"/>
        <v>213.15247428197404</v>
      </c>
      <c r="AO72" s="13">
        <f t="shared" ca="1" si="43"/>
        <v>132.9934595176112</v>
      </c>
      <c r="AP72" s="13">
        <f t="shared" ca="1" si="43"/>
        <v>130.38322304007704</v>
      </c>
      <c r="AQ72" s="13">
        <f t="shared" ca="1" si="43"/>
        <v>225.03709662626227</v>
      </c>
      <c r="AR72" s="13">
        <f t="shared" ca="1" si="43"/>
        <v>241.51047116548764</v>
      </c>
      <c r="AS72" s="13">
        <f t="shared" ca="1" si="43"/>
        <v>152.20915316221416</v>
      </c>
      <c r="AT72" s="13">
        <f t="shared" ca="1" si="43"/>
        <v>143.69847685156452</v>
      </c>
      <c r="AU72" s="13">
        <f t="shared" ca="1" si="43"/>
        <v>251.38091467869026</v>
      </c>
      <c r="AV72" s="13">
        <f t="shared" ca="1" si="43"/>
        <v>269.27311486043811</v>
      </c>
      <c r="AW72" s="13">
        <f t="shared" ca="1" si="43"/>
        <v>169.2484967943349</v>
      </c>
      <c r="AX72" s="13">
        <f t="shared" ca="1" si="43"/>
        <v>158.97537380693646</v>
      </c>
      <c r="AY72" s="13">
        <f t="shared" ca="1" si="43"/>
        <v>278.40163847268275</v>
      </c>
      <c r="AZ72" s="13">
        <f t="shared" ca="1" si="43"/>
        <v>298.785439284988</v>
      </c>
      <c r="BA72" s="13">
        <f t="shared" ca="1" si="43"/>
        <v>187.34843049592308</v>
      </c>
      <c r="BB72" s="83" t="s">
        <v>75</v>
      </c>
    </row>
    <row r="73" spans="2:54" x14ac:dyDescent="0.2">
      <c r="E73" s="11"/>
      <c r="F73" s="11"/>
      <c r="R73" s="13"/>
      <c r="S73" s="13"/>
      <c r="T73" s="13"/>
      <c r="U73" s="13"/>
      <c r="BB73" s="8" t="s">
        <v>75</v>
      </c>
    </row>
    <row r="74" spans="2:54" x14ac:dyDescent="0.2">
      <c r="E74" s="11"/>
      <c r="F74" s="11"/>
      <c r="R74" s="13"/>
      <c r="S74" s="13"/>
      <c r="T74" s="13"/>
      <c r="U74" s="13"/>
      <c r="BB74" s="8" t="s">
        <v>75</v>
      </c>
    </row>
    <row r="75" spans="2:54" x14ac:dyDescent="0.2">
      <c r="B75" s="2" t="s">
        <v>73</v>
      </c>
      <c r="C75" s="2"/>
      <c r="D75" s="2"/>
      <c r="E75" s="11"/>
      <c r="F75" s="11"/>
      <c r="R75" s="13"/>
      <c r="S75" s="13"/>
      <c r="T75" s="13"/>
      <c r="U75" s="13"/>
      <c r="AD75" s="175">
        <v>0.33</v>
      </c>
      <c r="AE75" s="176">
        <v>0.33</v>
      </c>
      <c r="AF75" s="176">
        <v>0.2</v>
      </c>
      <c r="AG75" s="180">
        <f>1-AF75-AE75-AD75</f>
        <v>0.14000000000000001</v>
      </c>
      <c r="BB75" s="8" t="s">
        <v>75</v>
      </c>
    </row>
    <row r="76" spans="2:54" x14ac:dyDescent="0.2">
      <c r="B76" s="19" t="s">
        <v>155</v>
      </c>
      <c r="C76" s="45" t="s">
        <v>187</v>
      </c>
      <c r="D76" s="19"/>
      <c r="E76" s="11"/>
      <c r="F76" s="11"/>
      <c r="G76" s="11">
        <f t="shared" ref="G76:H83" si="44">+SUMIFS(76:76,$6:$6,G$3)</f>
        <v>-96.009999999999991</v>
      </c>
      <c r="H76" s="11">
        <f t="shared" si="44"/>
        <v>-253.411</v>
      </c>
      <c r="I76" s="46">
        <f ca="1">-Ctrl!$G$73</f>
        <v>-500</v>
      </c>
      <c r="J76" s="46">
        <f ca="1">-Ctrl!$G$74</f>
        <v>-400</v>
      </c>
      <c r="K76" s="23">
        <f ca="1">-K197*K8</f>
        <v>-163.1736135682068</v>
      </c>
      <c r="L76" s="23">
        <f ca="1">-L197*L8</f>
        <v>-167.49821498711836</v>
      </c>
      <c r="M76" s="23">
        <f ca="1">-M197*M8</f>
        <v>-171.58778670263632</v>
      </c>
      <c r="N76" s="23">
        <f ca="1">-N197*N8</f>
        <v>-174.78441765553936</v>
      </c>
      <c r="O76" s="11"/>
      <c r="P76" s="11"/>
      <c r="R76" s="13"/>
      <c r="S76" s="13"/>
      <c r="T76" s="13"/>
      <c r="U76" s="13"/>
      <c r="V76" s="12">
        <v>-26.04</v>
      </c>
      <c r="W76" s="12">
        <v>-22.744294999999997</v>
      </c>
      <c r="X76" s="12">
        <v>-19.153657999999997</v>
      </c>
      <c r="Y76" s="12">
        <v>-28.072047000000005</v>
      </c>
      <c r="Z76" s="12">
        <v>-42.829000000000001</v>
      </c>
      <c r="AA76" s="12">
        <v>-68.879000000000005</v>
      </c>
      <c r="AB76" s="12">
        <v>-50.53</v>
      </c>
      <c r="AC76" s="12">
        <v>-91.173000000000002</v>
      </c>
      <c r="AD76" s="177">
        <f ca="1">+SUMIFS($76:$76,$3:$3,AD$6)*AD75</f>
        <v>-165</v>
      </c>
      <c r="AE76" s="178">
        <f ca="1">+SUMIFS($76:$76,$3:$3,AE$6)*AE75</f>
        <v>-165</v>
      </c>
      <c r="AF76" s="178">
        <f ca="1">+SUMIFS($76:$76,$3:$3,AF$6)*AF75</f>
        <v>-100</v>
      </c>
      <c r="AG76" s="179">
        <f ca="1">+SUMIFS($76:$76,$3:$3,AG$6)*AG75</f>
        <v>-70</v>
      </c>
      <c r="AH76" s="23">
        <f t="shared" ref="AH76:BA76" ca="1" si="45">+SUMIFS($76:$76,$3:$3,AH$6)/4</f>
        <v>-100</v>
      </c>
      <c r="AI76" s="23">
        <f t="shared" ca="1" si="45"/>
        <v>-100</v>
      </c>
      <c r="AJ76" s="23">
        <f t="shared" ca="1" si="45"/>
        <v>-100</v>
      </c>
      <c r="AK76" s="23">
        <f t="shared" ca="1" si="45"/>
        <v>-100</v>
      </c>
      <c r="AL76" s="23">
        <f t="shared" ca="1" si="45"/>
        <v>-40.793403392051701</v>
      </c>
      <c r="AM76" s="23">
        <f t="shared" ca="1" si="45"/>
        <v>-40.793403392051701</v>
      </c>
      <c r="AN76" s="23">
        <f t="shared" ca="1" si="45"/>
        <v>-40.793403392051701</v>
      </c>
      <c r="AO76" s="23">
        <f t="shared" ca="1" si="45"/>
        <v>-40.793403392051701</v>
      </c>
      <c r="AP76" s="23">
        <f t="shared" ca="1" si="45"/>
        <v>-41.87455374677959</v>
      </c>
      <c r="AQ76" s="23">
        <f t="shared" ca="1" si="45"/>
        <v>-41.87455374677959</v>
      </c>
      <c r="AR76" s="23">
        <f t="shared" ca="1" si="45"/>
        <v>-41.87455374677959</v>
      </c>
      <c r="AS76" s="23">
        <f t="shared" ca="1" si="45"/>
        <v>-41.87455374677959</v>
      </c>
      <c r="AT76" s="23">
        <f t="shared" ca="1" si="45"/>
        <v>-42.89694667565908</v>
      </c>
      <c r="AU76" s="23">
        <f t="shared" ca="1" si="45"/>
        <v>-42.89694667565908</v>
      </c>
      <c r="AV76" s="23">
        <f t="shared" ca="1" si="45"/>
        <v>-42.89694667565908</v>
      </c>
      <c r="AW76" s="23">
        <f t="shared" ca="1" si="45"/>
        <v>-42.89694667565908</v>
      </c>
      <c r="AX76" s="23">
        <f t="shared" ca="1" si="45"/>
        <v>-43.696104413884839</v>
      </c>
      <c r="AY76" s="23">
        <f t="shared" ca="1" si="45"/>
        <v>-43.696104413884839</v>
      </c>
      <c r="AZ76" s="23">
        <f t="shared" ca="1" si="45"/>
        <v>-43.696104413884839</v>
      </c>
      <c r="BA76" s="23">
        <f t="shared" ca="1" si="45"/>
        <v>-43.696104413884839</v>
      </c>
      <c r="BB76" s="8" t="s">
        <v>75</v>
      </c>
    </row>
    <row r="77" spans="2:54" x14ac:dyDescent="0.2">
      <c r="B77" s="19" t="s">
        <v>68</v>
      </c>
      <c r="C77" s="45" t="s">
        <v>187</v>
      </c>
      <c r="D77" s="19"/>
      <c r="E77" s="11"/>
      <c r="F77" s="11"/>
      <c r="G77" s="11">
        <f t="shared" si="44"/>
        <v>-3.1890000000000001</v>
      </c>
      <c r="H77" s="11">
        <f t="shared" si="44"/>
        <v>-49.233000000000004</v>
      </c>
      <c r="I77" s="11">
        <f t="shared" ref="I77:N83" si="46">+SUMIFS(77:77,$6:$6,I$3)</f>
        <v>0</v>
      </c>
      <c r="J77" s="11">
        <f t="shared" si="46"/>
        <v>0</v>
      </c>
      <c r="K77" s="11">
        <f t="shared" si="46"/>
        <v>0</v>
      </c>
      <c r="L77" s="11">
        <f t="shared" si="46"/>
        <v>0</v>
      </c>
      <c r="M77" s="11">
        <f t="shared" si="46"/>
        <v>0</v>
      </c>
      <c r="N77" s="11">
        <f t="shared" si="46"/>
        <v>0</v>
      </c>
      <c r="O77" s="11"/>
      <c r="P77" s="11"/>
      <c r="R77" s="13"/>
      <c r="S77" s="13"/>
      <c r="T77" s="13"/>
      <c r="U77" s="13"/>
      <c r="V77" s="12">
        <v>-0.41399999999999998</v>
      </c>
      <c r="W77" s="12">
        <v>-0.5</v>
      </c>
      <c r="X77" s="12">
        <v>-0.81599999999999995</v>
      </c>
      <c r="Y77" s="12">
        <v>-1.4590000000000001</v>
      </c>
      <c r="Z77" s="12">
        <v>-4.194</v>
      </c>
      <c r="AA77" s="12">
        <v>-2.6429999999999998</v>
      </c>
      <c r="AB77" s="12">
        <v>-3.89</v>
      </c>
      <c r="AC77" s="12">
        <v>-38.506</v>
      </c>
      <c r="BB77" s="8" t="s">
        <v>75</v>
      </c>
    </row>
    <row r="78" spans="2:54" x14ac:dyDescent="0.2">
      <c r="B78" s="19" t="s">
        <v>55</v>
      </c>
      <c r="C78" s="45" t="s">
        <v>187</v>
      </c>
      <c r="D78" s="19"/>
      <c r="E78" s="11"/>
      <c r="F78" s="11"/>
      <c r="G78" s="11">
        <f t="shared" si="44"/>
        <v>0</v>
      </c>
      <c r="H78" s="11">
        <f t="shared" si="44"/>
        <v>4.8719999999999999</v>
      </c>
      <c r="I78" s="11">
        <f t="shared" si="46"/>
        <v>0</v>
      </c>
      <c r="J78" s="11">
        <f t="shared" si="46"/>
        <v>0</v>
      </c>
      <c r="K78" s="11">
        <f t="shared" si="46"/>
        <v>0</v>
      </c>
      <c r="L78" s="11">
        <f t="shared" si="46"/>
        <v>0</v>
      </c>
      <c r="M78" s="11">
        <f t="shared" si="46"/>
        <v>0</v>
      </c>
      <c r="N78" s="11">
        <f t="shared" si="46"/>
        <v>0</v>
      </c>
      <c r="O78" s="11"/>
      <c r="P78" s="11"/>
      <c r="R78" s="13"/>
      <c r="S78" s="13"/>
      <c r="T78" s="13"/>
      <c r="U78" s="13"/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25.574000000000002</v>
      </c>
      <c r="AC78" s="12">
        <v>-20.702000000000002</v>
      </c>
      <c r="BB78" s="8" t="s">
        <v>75</v>
      </c>
    </row>
    <row r="79" spans="2:54" x14ac:dyDescent="0.2">
      <c r="B79" s="19" t="s">
        <v>156</v>
      </c>
      <c r="C79" s="45" t="s">
        <v>187</v>
      </c>
      <c r="D79" s="19"/>
      <c r="E79" s="11"/>
      <c r="F79" s="11"/>
      <c r="G79" s="11">
        <f t="shared" si="44"/>
        <v>-1691.0029999999999</v>
      </c>
      <c r="H79" s="11">
        <f t="shared" si="44"/>
        <v>-2107.8589999999999</v>
      </c>
      <c r="I79" s="11">
        <f t="shared" si="46"/>
        <v>0</v>
      </c>
      <c r="J79" s="11">
        <f t="shared" si="46"/>
        <v>0</v>
      </c>
      <c r="K79" s="11">
        <f t="shared" si="46"/>
        <v>0</v>
      </c>
      <c r="L79" s="11">
        <f t="shared" si="46"/>
        <v>0</v>
      </c>
      <c r="M79" s="11">
        <f t="shared" si="46"/>
        <v>0</v>
      </c>
      <c r="N79" s="11">
        <f t="shared" si="46"/>
        <v>0</v>
      </c>
      <c r="O79" s="11"/>
      <c r="P79" s="11"/>
      <c r="R79" s="13"/>
      <c r="S79" s="13"/>
      <c r="T79" s="13"/>
      <c r="U79" s="13"/>
      <c r="V79" s="12">
        <v>-147.03100000000001</v>
      </c>
      <c r="W79" s="12">
        <v>-636.7540640200001</v>
      </c>
      <c r="X79" s="12">
        <v>-462.36288619999993</v>
      </c>
      <c r="Y79" s="12">
        <v>-444.85504978</v>
      </c>
      <c r="Z79" s="12">
        <v>-245.32499999999999</v>
      </c>
      <c r="AA79" s="12">
        <v>-569.90099999999995</v>
      </c>
      <c r="AB79" s="12">
        <v>-693.16899999999998</v>
      </c>
      <c r="AC79" s="12">
        <v>-599.46400000000006</v>
      </c>
      <c r="BB79" s="8" t="s">
        <v>75</v>
      </c>
    </row>
    <row r="80" spans="2:54" x14ac:dyDescent="0.2">
      <c r="B80" s="19" t="s">
        <v>69</v>
      </c>
      <c r="C80" s="45" t="s">
        <v>187</v>
      </c>
      <c r="D80" s="19"/>
      <c r="E80" s="11"/>
      <c r="F80" s="11"/>
      <c r="G80" s="11">
        <f t="shared" si="44"/>
        <v>1782.0700000000002</v>
      </c>
      <c r="H80" s="11">
        <f t="shared" si="44"/>
        <v>2426.2169999999996</v>
      </c>
      <c r="I80" s="11">
        <f t="shared" si="46"/>
        <v>0</v>
      </c>
      <c r="J80" s="11">
        <f t="shared" si="46"/>
        <v>0</v>
      </c>
      <c r="K80" s="11">
        <f t="shared" si="46"/>
        <v>0</v>
      </c>
      <c r="L80" s="11">
        <f t="shared" si="46"/>
        <v>0</v>
      </c>
      <c r="M80" s="11">
        <f t="shared" si="46"/>
        <v>0</v>
      </c>
      <c r="N80" s="11">
        <f t="shared" si="46"/>
        <v>0</v>
      </c>
      <c r="O80" s="11"/>
      <c r="P80" s="11"/>
      <c r="R80" s="13"/>
      <c r="S80" s="13"/>
      <c r="T80" s="13"/>
      <c r="U80" s="13"/>
      <c r="V80" s="12">
        <v>405.55200000000002</v>
      </c>
      <c r="W80" s="12">
        <v>519.68712871665605</v>
      </c>
      <c r="X80" s="12">
        <v>480.48743972425603</v>
      </c>
      <c r="Y80" s="12">
        <v>376.34343155908795</v>
      </c>
      <c r="Z80" s="12">
        <v>433.40800000000002</v>
      </c>
      <c r="AA80" s="12">
        <v>480.41</v>
      </c>
      <c r="AB80" s="12">
        <v>698.77499999999998</v>
      </c>
      <c r="AC80" s="12">
        <v>813.62400000000002</v>
      </c>
      <c r="BB80" s="8" t="s">
        <v>75</v>
      </c>
    </row>
    <row r="81" spans="2:54" x14ac:dyDescent="0.2">
      <c r="B81" s="19" t="s">
        <v>158</v>
      </c>
      <c r="C81" s="45" t="s">
        <v>187</v>
      </c>
      <c r="D81" s="19"/>
      <c r="E81" s="11"/>
      <c r="F81" s="11"/>
      <c r="G81" s="11">
        <f t="shared" si="44"/>
        <v>2.4060000000000001</v>
      </c>
      <c r="H81" s="11">
        <f t="shared" si="44"/>
        <v>6.8389999999999995</v>
      </c>
      <c r="I81" s="11">
        <f t="shared" si="46"/>
        <v>0</v>
      </c>
      <c r="J81" s="11">
        <f t="shared" si="46"/>
        <v>0</v>
      </c>
      <c r="K81" s="11">
        <f t="shared" si="46"/>
        <v>0</v>
      </c>
      <c r="L81" s="11">
        <f t="shared" si="46"/>
        <v>0</v>
      </c>
      <c r="M81" s="11">
        <f t="shared" si="46"/>
        <v>0</v>
      </c>
      <c r="N81" s="11">
        <f t="shared" si="46"/>
        <v>0</v>
      </c>
      <c r="O81" s="11"/>
      <c r="P81" s="11"/>
      <c r="R81" s="13"/>
      <c r="S81" s="13"/>
      <c r="T81" s="13"/>
      <c r="U81" s="13"/>
      <c r="V81" s="12">
        <v>0</v>
      </c>
      <c r="W81" s="12">
        <v>0</v>
      </c>
      <c r="X81" s="12">
        <v>0</v>
      </c>
      <c r="Y81" s="12">
        <v>2.4060000000000001</v>
      </c>
      <c r="Z81" s="12">
        <v>6.3159999999999998</v>
      </c>
      <c r="AA81" s="12">
        <v>0</v>
      </c>
      <c r="AB81" s="12">
        <v>0</v>
      </c>
      <c r="AC81" s="12">
        <v>0.52300000000000002</v>
      </c>
      <c r="BB81" s="8" t="s">
        <v>75</v>
      </c>
    </row>
    <row r="82" spans="2:54" x14ac:dyDescent="0.2">
      <c r="B82" s="19" t="s">
        <v>157</v>
      </c>
      <c r="C82" s="45" t="s">
        <v>187</v>
      </c>
      <c r="D82" s="19"/>
      <c r="E82" s="11"/>
      <c r="F82" s="11"/>
      <c r="G82" s="11">
        <f t="shared" si="44"/>
        <v>0</v>
      </c>
      <c r="H82" s="11">
        <f t="shared" si="44"/>
        <v>-3.8199999999999994</v>
      </c>
      <c r="I82" s="11">
        <f t="shared" si="46"/>
        <v>0</v>
      </c>
      <c r="J82" s="11">
        <f t="shared" si="46"/>
        <v>0</v>
      </c>
      <c r="K82" s="11">
        <f t="shared" si="46"/>
        <v>0</v>
      </c>
      <c r="L82" s="11">
        <f t="shared" si="46"/>
        <v>0</v>
      </c>
      <c r="M82" s="11">
        <f t="shared" si="46"/>
        <v>0</v>
      </c>
      <c r="N82" s="11">
        <f t="shared" si="46"/>
        <v>0</v>
      </c>
      <c r="O82" s="11"/>
      <c r="P82" s="11"/>
      <c r="R82" s="13"/>
      <c r="S82" s="13"/>
      <c r="T82" s="13"/>
      <c r="U82" s="13"/>
      <c r="V82" s="12">
        <v>0</v>
      </c>
      <c r="W82" s="12">
        <v>0</v>
      </c>
      <c r="X82" s="12">
        <v>0</v>
      </c>
      <c r="Y82" s="12">
        <v>0</v>
      </c>
      <c r="Z82" s="12">
        <v>0</v>
      </c>
      <c r="AA82" s="12">
        <v>0</v>
      </c>
      <c r="AB82" s="12">
        <v>-4.1449999999999996</v>
      </c>
      <c r="AC82" s="12">
        <v>0.32500000000000001</v>
      </c>
      <c r="BB82" s="8" t="s">
        <v>75</v>
      </c>
    </row>
    <row r="83" spans="2:54" s="2" customFormat="1" x14ac:dyDescent="0.2">
      <c r="B83" s="2" t="s">
        <v>70</v>
      </c>
      <c r="C83" s="45" t="s">
        <v>187</v>
      </c>
      <c r="E83" s="11"/>
      <c r="F83" s="11"/>
      <c r="G83" s="13">
        <f t="shared" si="44"/>
        <v>-5.7259999999999422</v>
      </c>
      <c r="H83" s="13">
        <f t="shared" si="44"/>
        <v>23.605000000000018</v>
      </c>
      <c r="I83" s="13">
        <f t="shared" ca="1" si="46"/>
        <v>-500</v>
      </c>
      <c r="J83" s="13">
        <f t="shared" ca="1" si="46"/>
        <v>-400</v>
      </c>
      <c r="K83" s="13">
        <f t="shared" ca="1" si="46"/>
        <v>-163.1736135682068</v>
      </c>
      <c r="L83" s="13">
        <f t="shared" ca="1" si="46"/>
        <v>-167.49821498711836</v>
      </c>
      <c r="M83" s="13">
        <f t="shared" ca="1" si="46"/>
        <v>-171.58778670263632</v>
      </c>
      <c r="N83" s="13">
        <f t="shared" ca="1" si="46"/>
        <v>-174.78441765553936</v>
      </c>
      <c r="O83" s="13"/>
      <c r="P83" s="13"/>
      <c r="R83" s="13"/>
      <c r="S83" s="13"/>
      <c r="T83" s="13"/>
      <c r="U83" s="13"/>
      <c r="V83" s="13">
        <f t="shared" ref="V83:AC83" si="47">+SUM(V76:V82)</f>
        <v>232.06700000000001</v>
      </c>
      <c r="W83" s="13">
        <f t="shared" si="47"/>
        <v>-140.31123030334402</v>
      </c>
      <c r="X83" s="13">
        <f t="shared" si="47"/>
        <v>-1.8451044757438808</v>
      </c>
      <c r="Y83" s="13">
        <f t="shared" si="47"/>
        <v>-95.63666522091205</v>
      </c>
      <c r="Z83" s="13">
        <f t="shared" si="47"/>
        <v>147.376</v>
      </c>
      <c r="AA83" s="13">
        <f t="shared" si="47"/>
        <v>-161.01299999999998</v>
      </c>
      <c r="AB83" s="13">
        <f t="shared" si="47"/>
        <v>-27.385000000000009</v>
      </c>
      <c r="AC83" s="13">
        <f t="shared" si="47"/>
        <v>64.626999999999995</v>
      </c>
      <c r="AD83" s="13">
        <f t="shared" ref="AD83:BA83" ca="1" si="48">+SUM(AD76:AD82)</f>
        <v>-165</v>
      </c>
      <c r="AE83" s="13">
        <f t="shared" ca="1" si="48"/>
        <v>-165</v>
      </c>
      <c r="AF83" s="13">
        <f t="shared" ca="1" si="48"/>
        <v>-100</v>
      </c>
      <c r="AG83" s="13">
        <f t="shared" ca="1" si="48"/>
        <v>-70</v>
      </c>
      <c r="AH83" s="13">
        <f t="shared" ca="1" si="48"/>
        <v>-100</v>
      </c>
      <c r="AI83" s="13">
        <f t="shared" ca="1" si="48"/>
        <v>-100</v>
      </c>
      <c r="AJ83" s="13">
        <f t="shared" ca="1" si="48"/>
        <v>-100</v>
      </c>
      <c r="AK83" s="13">
        <f t="shared" ca="1" si="48"/>
        <v>-100</v>
      </c>
      <c r="AL83" s="13">
        <f t="shared" ca="1" si="48"/>
        <v>-40.793403392051701</v>
      </c>
      <c r="AM83" s="13">
        <f t="shared" ca="1" si="48"/>
        <v>-40.793403392051701</v>
      </c>
      <c r="AN83" s="13">
        <f t="shared" ca="1" si="48"/>
        <v>-40.793403392051701</v>
      </c>
      <c r="AO83" s="13">
        <f t="shared" ca="1" si="48"/>
        <v>-40.793403392051701</v>
      </c>
      <c r="AP83" s="13">
        <f t="shared" ca="1" si="48"/>
        <v>-41.87455374677959</v>
      </c>
      <c r="AQ83" s="13">
        <f t="shared" ca="1" si="48"/>
        <v>-41.87455374677959</v>
      </c>
      <c r="AR83" s="13">
        <f t="shared" ca="1" si="48"/>
        <v>-41.87455374677959</v>
      </c>
      <c r="AS83" s="13">
        <f t="shared" ca="1" si="48"/>
        <v>-41.87455374677959</v>
      </c>
      <c r="AT83" s="13">
        <f t="shared" ca="1" si="48"/>
        <v>-42.89694667565908</v>
      </c>
      <c r="AU83" s="13">
        <f t="shared" ca="1" si="48"/>
        <v>-42.89694667565908</v>
      </c>
      <c r="AV83" s="13">
        <f t="shared" ca="1" si="48"/>
        <v>-42.89694667565908</v>
      </c>
      <c r="AW83" s="13">
        <f t="shared" ca="1" si="48"/>
        <v>-42.89694667565908</v>
      </c>
      <c r="AX83" s="13">
        <f t="shared" ca="1" si="48"/>
        <v>-43.696104413884839</v>
      </c>
      <c r="AY83" s="13">
        <f t="shared" ca="1" si="48"/>
        <v>-43.696104413884839</v>
      </c>
      <c r="AZ83" s="13">
        <f t="shared" ca="1" si="48"/>
        <v>-43.696104413884839</v>
      </c>
      <c r="BA83" s="13">
        <f t="shared" ca="1" si="48"/>
        <v>-43.696104413884839</v>
      </c>
      <c r="BB83" s="83" t="s">
        <v>75</v>
      </c>
    </row>
    <row r="84" spans="2:54" x14ac:dyDescent="0.2">
      <c r="E84" s="11"/>
      <c r="F84" s="11"/>
      <c r="R84" s="13"/>
      <c r="S84" s="13"/>
      <c r="T84" s="13"/>
      <c r="U84" s="13"/>
      <c r="BB84" s="8" t="s">
        <v>75</v>
      </c>
    </row>
    <row r="85" spans="2:54" x14ac:dyDescent="0.2">
      <c r="B85" s="2" t="s">
        <v>72</v>
      </c>
      <c r="C85" s="2"/>
      <c r="D85" s="2"/>
      <c r="E85" s="11"/>
      <c r="F85" s="11"/>
      <c r="R85" s="13"/>
      <c r="S85" s="13"/>
      <c r="T85" s="13"/>
      <c r="U85" s="13"/>
      <c r="BB85" s="8" t="s">
        <v>75</v>
      </c>
    </row>
    <row r="86" spans="2:54" x14ac:dyDescent="0.2">
      <c r="B86" s="19" t="s">
        <v>77</v>
      </c>
      <c r="C86" s="45" t="s">
        <v>187</v>
      </c>
      <c r="D86" s="19"/>
      <c r="E86" s="11"/>
      <c r="F86" s="11"/>
      <c r="G86" s="11">
        <f t="shared" ref="G86:N94" si="49">+SUMIFS(86:86,$6:$6,G$3)</f>
        <v>0</v>
      </c>
      <c r="H86" s="11">
        <f t="shared" si="49"/>
        <v>51.786000000000001</v>
      </c>
      <c r="I86" s="11">
        <f t="shared" ca="1" si="49"/>
        <v>0</v>
      </c>
      <c r="J86" s="11">
        <f t="shared" ca="1" si="49"/>
        <v>0</v>
      </c>
      <c r="K86" s="11">
        <f t="shared" ca="1" si="49"/>
        <v>0</v>
      </c>
      <c r="L86" s="11">
        <f t="shared" ca="1" si="49"/>
        <v>0</v>
      </c>
      <c r="M86" s="11">
        <f t="shared" ca="1" si="49"/>
        <v>0</v>
      </c>
      <c r="N86" s="11">
        <f t="shared" ca="1" si="49"/>
        <v>0</v>
      </c>
      <c r="O86" s="11"/>
      <c r="P86" s="11"/>
      <c r="R86" s="13"/>
      <c r="S86" s="13"/>
      <c r="T86" s="13"/>
      <c r="U86" s="13"/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0</v>
      </c>
      <c r="AB86" s="12">
        <v>51.786000000000001</v>
      </c>
      <c r="AC86" s="12">
        <v>0</v>
      </c>
      <c r="AD86" s="11">
        <f ca="1">+AD179</f>
        <v>0</v>
      </c>
      <c r="AE86" s="11">
        <f t="shared" ref="AE86:BA86" ca="1" si="50">+AE179</f>
        <v>0</v>
      </c>
      <c r="AF86" s="11">
        <f t="shared" ca="1" si="50"/>
        <v>0</v>
      </c>
      <c r="AG86" s="11">
        <f t="shared" ca="1" si="50"/>
        <v>0</v>
      </c>
      <c r="AH86" s="11">
        <f t="shared" ca="1" si="50"/>
        <v>0</v>
      </c>
      <c r="AI86" s="11">
        <f t="shared" ca="1" si="50"/>
        <v>0</v>
      </c>
      <c r="AJ86" s="11">
        <f t="shared" ca="1" si="50"/>
        <v>0</v>
      </c>
      <c r="AK86" s="11">
        <f t="shared" ca="1" si="50"/>
        <v>0</v>
      </c>
      <c r="AL86" s="11">
        <f t="shared" ca="1" si="50"/>
        <v>0</v>
      </c>
      <c r="AM86" s="11">
        <f t="shared" ca="1" si="50"/>
        <v>0</v>
      </c>
      <c r="AN86" s="11">
        <f t="shared" ca="1" si="50"/>
        <v>0</v>
      </c>
      <c r="AO86" s="11">
        <f t="shared" ca="1" si="50"/>
        <v>0</v>
      </c>
      <c r="AP86" s="11">
        <f t="shared" ca="1" si="50"/>
        <v>0</v>
      </c>
      <c r="AQ86" s="11">
        <f t="shared" ca="1" si="50"/>
        <v>0</v>
      </c>
      <c r="AR86" s="11">
        <f t="shared" ca="1" si="50"/>
        <v>0</v>
      </c>
      <c r="AS86" s="11">
        <f t="shared" ca="1" si="50"/>
        <v>0</v>
      </c>
      <c r="AT86" s="11">
        <f t="shared" ca="1" si="50"/>
        <v>0</v>
      </c>
      <c r="AU86" s="11">
        <f t="shared" ca="1" si="50"/>
        <v>0</v>
      </c>
      <c r="AV86" s="11">
        <f t="shared" ca="1" si="50"/>
        <v>0</v>
      </c>
      <c r="AW86" s="11">
        <f t="shared" ca="1" si="50"/>
        <v>0</v>
      </c>
      <c r="AX86" s="11">
        <f t="shared" ca="1" si="50"/>
        <v>0</v>
      </c>
      <c r="AY86" s="11">
        <f t="shared" ca="1" si="50"/>
        <v>0</v>
      </c>
      <c r="AZ86" s="11">
        <f t="shared" ca="1" si="50"/>
        <v>0</v>
      </c>
      <c r="BA86" s="11">
        <f t="shared" ca="1" si="50"/>
        <v>0</v>
      </c>
      <c r="BB86" s="8" t="s">
        <v>75</v>
      </c>
    </row>
    <row r="87" spans="2:54" x14ac:dyDescent="0.2">
      <c r="B87" s="19" t="s">
        <v>159</v>
      </c>
      <c r="C87" s="45" t="s">
        <v>187</v>
      </c>
      <c r="D87" s="19"/>
      <c r="E87" s="11"/>
      <c r="F87" s="11"/>
      <c r="G87" s="11">
        <f t="shared" si="49"/>
        <v>-8.016</v>
      </c>
      <c r="H87" s="11">
        <f t="shared" si="49"/>
        <v>-17.032</v>
      </c>
      <c r="I87" s="11">
        <f t="shared" ca="1" si="49"/>
        <v>0</v>
      </c>
      <c r="J87" s="11">
        <f t="shared" ca="1" si="49"/>
        <v>0</v>
      </c>
      <c r="K87" s="11">
        <f t="shared" ca="1" si="49"/>
        <v>0</v>
      </c>
      <c r="L87" s="11">
        <f t="shared" ca="1" si="49"/>
        <v>0</v>
      </c>
      <c r="M87" s="11">
        <f t="shared" ca="1" si="49"/>
        <v>0</v>
      </c>
      <c r="N87" s="11">
        <f t="shared" ca="1" si="49"/>
        <v>0</v>
      </c>
      <c r="O87" s="11"/>
      <c r="P87" s="11"/>
      <c r="R87" s="13"/>
      <c r="S87" s="13"/>
      <c r="T87" s="13"/>
      <c r="U87" s="13"/>
      <c r="V87" s="12">
        <v>-1.671</v>
      </c>
      <c r="W87" s="12">
        <v>-1.6708240085602619</v>
      </c>
      <c r="X87" s="12">
        <v>-2.7822442498317361</v>
      </c>
      <c r="Y87" s="12">
        <v>-1.8919317416080021</v>
      </c>
      <c r="Z87" s="12">
        <v>-2.573</v>
      </c>
      <c r="AA87" s="12">
        <v>-1.5620000000000001</v>
      </c>
      <c r="AB87" s="12">
        <v>-2.9060000000000001</v>
      </c>
      <c r="AC87" s="12">
        <v>-9.9909999999999997</v>
      </c>
      <c r="AD87" s="46">
        <f ca="1">+SUMIFS(Debt!$40:$40,Debt!$3:$3,AD$3)</f>
        <v>0</v>
      </c>
      <c r="AE87" s="46">
        <f ca="1">+SUMIFS(Debt!$40:$40,Debt!$3:$3,AE$3)</f>
        <v>0</v>
      </c>
      <c r="AF87" s="46">
        <f ca="1">+SUMIFS(Debt!$40:$40,Debt!$3:$3,AF$3)</f>
        <v>0</v>
      </c>
      <c r="AG87" s="46">
        <f ca="1">+SUMIFS(Debt!$40:$40,Debt!$3:$3,AG$3)</f>
        <v>0</v>
      </c>
      <c r="AH87" s="46">
        <f ca="1">+SUMIFS(Debt!$40:$40,Debt!$3:$3,AH$3)</f>
        <v>0</v>
      </c>
      <c r="AI87" s="46">
        <f ca="1">+SUMIFS(Debt!$40:$40,Debt!$3:$3,AI$3)</f>
        <v>0</v>
      </c>
      <c r="AJ87" s="46">
        <f ca="1">+SUMIFS(Debt!$40:$40,Debt!$3:$3,AJ$3)</f>
        <v>0</v>
      </c>
      <c r="AK87" s="46">
        <f ca="1">+SUMIFS(Debt!$40:$40,Debt!$3:$3,AK$3)</f>
        <v>0</v>
      </c>
      <c r="AL87" s="46">
        <f ca="1">+SUMIFS(Debt!$40:$40,Debt!$3:$3,AL$3)</f>
        <v>0</v>
      </c>
      <c r="AM87" s="46">
        <f ca="1">+SUMIFS(Debt!$40:$40,Debt!$3:$3,AM$3)</f>
        <v>0</v>
      </c>
      <c r="AN87" s="46">
        <f ca="1">+SUMIFS(Debt!$40:$40,Debt!$3:$3,AN$3)</f>
        <v>0</v>
      </c>
      <c r="AO87" s="46">
        <f ca="1">+SUMIFS(Debt!$40:$40,Debt!$3:$3,AO$3)</f>
        <v>0</v>
      </c>
      <c r="AP87" s="46">
        <f ca="1">+SUMIFS(Debt!$40:$40,Debt!$3:$3,AP$3)</f>
        <v>0</v>
      </c>
      <c r="AQ87" s="46">
        <f ca="1">+SUMIFS(Debt!$40:$40,Debt!$3:$3,AQ$3)</f>
        <v>0</v>
      </c>
      <c r="AR87" s="46">
        <f ca="1">+SUMIFS(Debt!$40:$40,Debt!$3:$3,AR$3)</f>
        <v>0</v>
      </c>
      <c r="AS87" s="46">
        <f ca="1">+SUMIFS(Debt!$40:$40,Debt!$3:$3,AS$3)</f>
        <v>0</v>
      </c>
      <c r="AT87" s="46">
        <f ca="1">+SUMIFS(Debt!$40:$40,Debt!$3:$3,AT$3)</f>
        <v>0</v>
      </c>
      <c r="AU87" s="46">
        <f ca="1">+SUMIFS(Debt!$40:$40,Debt!$3:$3,AU$3)</f>
        <v>0</v>
      </c>
      <c r="AV87" s="46">
        <f ca="1">+SUMIFS(Debt!$40:$40,Debt!$3:$3,AV$3)</f>
        <v>0</v>
      </c>
      <c r="AW87" s="46">
        <f ca="1">+SUMIFS(Debt!$40:$40,Debt!$3:$3,AW$3)</f>
        <v>0</v>
      </c>
      <c r="AX87" s="46">
        <f ca="1">+SUMIFS(Debt!$40:$40,Debt!$3:$3,AX$3)</f>
        <v>0</v>
      </c>
      <c r="AY87" s="46">
        <f ca="1">+SUMIFS(Debt!$40:$40,Debt!$3:$3,AY$3)</f>
        <v>0</v>
      </c>
      <c r="AZ87" s="46">
        <f ca="1">+SUMIFS(Debt!$40:$40,Debt!$3:$3,AZ$3)</f>
        <v>0</v>
      </c>
      <c r="BA87" s="46">
        <f ca="1">+SUMIFS(Debt!$40:$40,Debt!$3:$3,BA$3)</f>
        <v>0</v>
      </c>
      <c r="BB87" s="8" t="s">
        <v>75</v>
      </c>
    </row>
    <row r="88" spans="2:54" x14ac:dyDescent="0.2">
      <c r="B88" s="19" t="s">
        <v>79</v>
      </c>
      <c r="C88" s="45" t="s">
        <v>187</v>
      </c>
      <c r="D88" s="19"/>
      <c r="E88" s="11"/>
      <c r="F88" s="11"/>
      <c r="G88" s="11">
        <f t="shared" si="49"/>
        <v>-69.132999999999996</v>
      </c>
      <c r="H88" s="11">
        <f t="shared" si="49"/>
        <v>-32.506</v>
      </c>
      <c r="I88" s="11">
        <f t="shared" ca="1" si="49"/>
        <v>-24.674368424649611</v>
      </c>
      <c r="J88" s="11">
        <f t="shared" ca="1" si="49"/>
        <v>-25.169077220642549</v>
      </c>
      <c r="K88" s="11">
        <f t="shared" ca="1" si="49"/>
        <v>-25.673704681568296</v>
      </c>
      <c r="L88" s="11">
        <f t="shared" ca="1" si="49"/>
        <v>-26.188449671718015</v>
      </c>
      <c r="M88" s="11">
        <f t="shared" ca="1" si="49"/>
        <v>-26.71351504251286</v>
      </c>
      <c r="N88" s="11">
        <f t="shared" ca="1" si="49"/>
        <v>-27.24910771244393</v>
      </c>
      <c r="O88" s="11"/>
      <c r="P88" s="11"/>
      <c r="R88" s="13"/>
      <c r="S88" s="13"/>
      <c r="T88" s="13"/>
      <c r="U88" s="13"/>
      <c r="V88" s="12">
        <v>-21.108000000000001</v>
      </c>
      <c r="W88" s="12">
        <v>-22.265999999999998</v>
      </c>
      <c r="X88" s="12">
        <v>-12.587212543781549</v>
      </c>
      <c r="Y88" s="12">
        <v>-13.171787456218452</v>
      </c>
      <c r="Z88" s="12">
        <v>-13.988</v>
      </c>
      <c r="AA88" s="12">
        <v>-7.3840000000000003</v>
      </c>
      <c r="AB88" s="12">
        <v>-1.478</v>
      </c>
      <c r="AC88" s="12">
        <v>-9.6560000000000006</v>
      </c>
      <c r="AD88" s="46">
        <f ca="1">+SUMIFS(Debt!$38:$38,Debt!$3:$3,AD$3)</f>
        <v>0</v>
      </c>
      <c r="AE88" s="46">
        <f ca="1">+SUMIFS(Debt!$38:$38,Debt!$3:$3,AE$3)</f>
        <v>-12.275957868656718</v>
      </c>
      <c r="AF88" s="46">
        <f ca="1">+SUMIFS(Debt!$38:$38,Debt!$3:$3,AF$3)</f>
        <v>0</v>
      </c>
      <c r="AG88" s="46">
        <f ca="1">+SUMIFS(Debt!$38:$38,Debt!$3:$3,AG$3)</f>
        <v>-12.398410555992893</v>
      </c>
      <c r="AH88" s="46">
        <f ca="1">+SUMIFS(Debt!$38:$38,Debt!$3:$3,AH$3)</f>
        <v>0</v>
      </c>
      <c r="AI88" s="46">
        <f ca="1">+SUMIFS(Debt!$38:$38,Debt!$3:$3,AI$3)</f>
        <v>-12.522084708961017</v>
      </c>
      <c r="AJ88" s="46">
        <f ca="1">+SUMIFS(Debt!$38:$38,Debt!$3:$3,AJ$3)</f>
        <v>0</v>
      </c>
      <c r="AK88" s="46">
        <f ca="1">+SUMIFS(Debt!$38:$38,Debt!$3:$3,AK$3)</f>
        <v>-12.646992511681532</v>
      </c>
      <c r="AL88" s="46">
        <f ca="1">+SUMIFS(Debt!$38:$38,Debt!$3:$3,AL$3)</f>
        <v>0</v>
      </c>
      <c r="AM88" s="46">
        <f ca="1">+SUMIFS(Debt!$38:$38,Debt!$3:$3,AM$3)</f>
        <v>-12.773146269811473</v>
      </c>
      <c r="AN88" s="46">
        <f ca="1">+SUMIFS(Debt!$38:$38,Debt!$3:$3,AN$3)</f>
        <v>0</v>
      </c>
      <c r="AO88" s="46">
        <f ca="1">+SUMIFS(Debt!$38:$38,Debt!$3:$3,AO$3)</f>
        <v>-12.900558411756823</v>
      </c>
      <c r="AP88" s="46">
        <f ca="1">+SUMIFS(Debt!$38:$38,Debt!$3:$3,AP$3)</f>
        <v>0</v>
      </c>
      <c r="AQ88" s="46">
        <f ca="1">+SUMIFS(Debt!$38:$38,Debt!$3:$3,AQ$3)</f>
        <v>-13.02924148989692</v>
      </c>
      <c r="AR88" s="46">
        <f ca="1">+SUMIFS(Debt!$38:$38,Debt!$3:$3,AR$3)</f>
        <v>0</v>
      </c>
      <c r="AS88" s="46">
        <f ca="1">+SUMIFS(Debt!$38:$38,Debt!$3:$3,AS$3)</f>
        <v>-13.159208181821095</v>
      </c>
      <c r="AT88" s="46">
        <f ca="1">+SUMIFS(Debt!$38:$38,Debt!$3:$3,AT$3)</f>
        <v>0</v>
      </c>
      <c r="AU88" s="46">
        <f ca="1">+SUMIFS(Debt!$38:$38,Debt!$3:$3,AU$3)</f>
        <v>-13.290471291577637</v>
      </c>
      <c r="AV88" s="46">
        <f ca="1">+SUMIFS(Debt!$38:$38,Debt!$3:$3,AV$3)</f>
        <v>0</v>
      </c>
      <c r="AW88" s="46">
        <f ca="1">+SUMIFS(Debt!$38:$38,Debt!$3:$3,AW$3)</f>
        <v>-13.423043750935225</v>
      </c>
      <c r="AX88" s="46">
        <f ca="1">+SUMIFS(Debt!$38:$38,Debt!$3:$3,AX$3)</f>
        <v>0</v>
      </c>
      <c r="AY88" s="46">
        <f ca="1">+SUMIFS(Debt!$38:$38,Debt!$3:$3,AY$3)</f>
        <v>-13.556938620656943</v>
      </c>
      <c r="AZ88" s="46">
        <f ca="1">+SUMIFS(Debt!$38:$38,Debt!$3:$3,AZ$3)</f>
        <v>0</v>
      </c>
      <c r="BA88" s="46">
        <f ca="1">+SUMIFS(Debt!$38:$38,Debt!$3:$3,BA$3)</f>
        <v>-13.692169091786987</v>
      </c>
      <c r="BB88" s="8" t="s">
        <v>75</v>
      </c>
    </row>
    <row r="89" spans="2:54" x14ac:dyDescent="0.2">
      <c r="B89" s="19" t="s">
        <v>228</v>
      </c>
      <c r="C89" s="45" t="s">
        <v>187</v>
      </c>
      <c r="D89" s="19"/>
      <c r="E89" s="11"/>
      <c r="F89" s="11"/>
      <c r="G89" s="11">
        <f t="shared" si="49"/>
        <v>-0.80800000000000005</v>
      </c>
      <c r="H89" s="11">
        <f t="shared" si="49"/>
        <v>0.43100000000000005</v>
      </c>
      <c r="I89" s="11">
        <f t="shared" si="49"/>
        <v>0</v>
      </c>
      <c r="J89" s="11">
        <f t="shared" si="49"/>
        <v>0</v>
      </c>
      <c r="K89" s="11">
        <f t="shared" si="49"/>
        <v>0</v>
      </c>
      <c r="L89" s="11">
        <f t="shared" si="49"/>
        <v>0</v>
      </c>
      <c r="M89" s="11">
        <f t="shared" si="49"/>
        <v>0</v>
      </c>
      <c r="N89" s="11">
        <f t="shared" si="49"/>
        <v>0</v>
      </c>
      <c r="O89" s="11"/>
      <c r="P89" s="11"/>
      <c r="R89" s="13"/>
      <c r="S89" s="13"/>
      <c r="T89" s="13"/>
      <c r="U89" s="13"/>
      <c r="V89" s="12">
        <v>0</v>
      </c>
      <c r="W89" s="12">
        <v>-2.6259999999999999</v>
      </c>
      <c r="X89" s="12">
        <v>2.6259999999999999</v>
      </c>
      <c r="Y89" s="12">
        <v>-0.80800000000000005</v>
      </c>
      <c r="Z89" s="12">
        <v>0</v>
      </c>
      <c r="AA89" s="12">
        <v>-4.6040000000000001</v>
      </c>
      <c r="AB89" s="12">
        <v>-5.0999999999999997E-2</v>
      </c>
      <c r="AC89" s="12">
        <v>5.0860000000000003</v>
      </c>
      <c r="AD89" s="46"/>
      <c r="AE89" s="46"/>
      <c r="AF89" s="156"/>
      <c r="AG89" s="156"/>
      <c r="AH89" s="156"/>
      <c r="AI89" s="156"/>
      <c r="AJ89" s="156"/>
      <c r="AK89" s="156"/>
      <c r="AL89" s="156"/>
      <c r="AM89" s="156"/>
      <c r="AN89" s="156"/>
      <c r="AO89" s="156"/>
      <c r="AP89" s="156"/>
      <c r="AQ89" s="156"/>
      <c r="AR89" s="156"/>
      <c r="AS89" s="156"/>
      <c r="AT89" s="156"/>
      <c r="AU89" s="156"/>
      <c r="AV89" s="156"/>
      <c r="AW89" s="156"/>
      <c r="AX89" s="156"/>
      <c r="AY89" s="156"/>
      <c r="AZ89" s="156"/>
      <c r="BA89" s="156"/>
      <c r="BB89" s="8" t="s">
        <v>75</v>
      </c>
    </row>
    <row r="90" spans="2:54" x14ac:dyDescent="0.2">
      <c r="B90" s="19" t="s">
        <v>160</v>
      </c>
      <c r="C90" s="45" t="s">
        <v>187</v>
      </c>
      <c r="D90" s="19"/>
      <c r="E90" s="11"/>
      <c r="F90" s="11"/>
      <c r="G90" s="11">
        <f t="shared" si="49"/>
        <v>-135.863</v>
      </c>
      <c r="H90" s="11">
        <f t="shared" si="49"/>
        <v>-1.9609999999999999</v>
      </c>
      <c r="I90" s="11">
        <f t="shared" ca="1" si="49"/>
        <v>0</v>
      </c>
      <c r="J90" s="11">
        <f t="shared" ca="1" si="49"/>
        <v>-149.72213300000001</v>
      </c>
      <c r="K90" s="11">
        <f t="shared" ca="1" si="49"/>
        <v>-374.30533250000008</v>
      </c>
      <c r="L90" s="11">
        <f t="shared" ca="1" si="49"/>
        <v>-524.02746550000006</v>
      </c>
      <c r="M90" s="11">
        <f t="shared" ca="1" si="49"/>
        <v>-636.31906524999999</v>
      </c>
      <c r="N90" s="11">
        <f t="shared" ca="1" si="49"/>
        <v>-711.1801317500001</v>
      </c>
      <c r="O90" s="11"/>
      <c r="P90" s="11"/>
      <c r="R90" s="13"/>
      <c r="S90" s="13"/>
      <c r="T90" s="13"/>
      <c r="U90" s="13"/>
      <c r="V90" s="12">
        <v>0</v>
      </c>
      <c r="W90" s="12">
        <v>-135.798</v>
      </c>
      <c r="X90" s="12">
        <v>0</v>
      </c>
      <c r="Y90" s="12">
        <v>-6.5000000000000002E-2</v>
      </c>
      <c r="Z90" s="12">
        <v>0</v>
      </c>
      <c r="AA90" s="12">
        <v>-4.359</v>
      </c>
      <c r="AB90" s="12">
        <v>0</v>
      </c>
      <c r="AC90" s="12">
        <v>2.3980000000000001</v>
      </c>
      <c r="AD90" s="46">
        <f>-AD191</f>
        <v>0</v>
      </c>
      <c r="AE90" s="46">
        <f t="shared" ref="AE90:BA90" si="51">-AE191</f>
        <v>0</v>
      </c>
      <c r="AF90" s="46">
        <f t="shared" ca="1" si="51"/>
        <v>0</v>
      </c>
      <c r="AG90" s="46">
        <f t="shared" ca="1" si="51"/>
        <v>0</v>
      </c>
      <c r="AH90" s="46">
        <f t="shared" ca="1" si="51"/>
        <v>0</v>
      </c>
      <c r="AI90" s="46">
        <f t="shared" ca="1" si="51"/>
        <v>0</v>
      </c>
      <c r="AJ90" s="46">
        <f t="shared" ca="1" si="51"/>
        <v>-74.861066500000007</v>
      </c>
      <c r="AK90" s="46">
        <f t="shared" ca="1" si="51"/>
        <v>-74.861066500000007</v>
      </c>
      <c r="AL90" s="46">
        <f t="shared" ca="1" si="51"/>
        <v>-74.861066500000007</v>
      </c>
      <c r="AM90" s="46">
        <f t="shared" ca="1" si="51"/>
        <v>-74.861066500000007</v>
      </c>
      <c r="AN90" s="46">
        <f t="shared" ca="1" si="51"/>
        <v>-112.29159975000002</v>
      </c>
      <c r="AO90" s="46">
        <f t="shared" ca="1" si="51"/>
        <v>-112.29159975000002</v>
      </c>
      <c r="AP90" s="46">
        <f t="shared" ca="1" si="51"/>
        <v>-112.29159975000002</v>
      </c>
      <c r="AQ90" s="46">
        <f t="shared" ca="1" si="51"/>
        <v>-112.29159975000002</v>
      </c>
      <c r="AR90" s="46">
        <f t="shared" ca="1" si="51"/>
        <v>-149.72213300000001</v>
      </c>
      <c r="AS90" s="46">
        <f t="shared" ca="1" si="51"/>
        <v>-149.72213300000001</v>
      </c>
      <c r="AT90" s="46">
        <f t="shared" ca="1" si="51"/>
        <v>-149.72213300000001</v>
      </c>
      <c r="AU90" s="46">
        <f t="shared" ca="1" si="51"/>
        <v>-149.72213300000001</v>
      </c>
      <c r="AV90" s="46">
        <f t="shared" ca="1" si="51"/>
        <v>-168.43739962500001</v>
      </c>
      <c r="AW90" s="46">
        <f t="shared" ca="1" si="51"/>
        <v>-168.43739962500001</v>
      </c>
      <c r="AX90" s="46">
        <f t="shared" ca="1" si="51"/>
        <v>-168.43739962500001</v>
      </c>
      <c r="AY90" s="46">
        <f t="shared" ca="1" si="51"/>
        <v>-168.43739962500001</v>
      </c>
      <c r="AZ90" s="46">
        <f t="shared" ca="1" si="51"/>
        <v>-187.15266625000001</v>
      </c>
      <c r="BA90" s="46">
        <f t="shared" ca="1" si="51"/>
        <v>-187.15266625000001</v>
      </c>
      <c r="BB90" s="8" t="s">
        <v>75</v>
      </c>
    </row>
    <row r="91" spans="2:54" x14ac:dyDescent="0.2">
      <c r="B91" s="19" t="s">
        <v>161</v>
      </c>
      <c r="C91" s="45" t="s">
        <v>187</v>
      </c>
      <c r="D91" s="19"/>
      <c r="E91" s="11"/>
      <c r="F91" s="11"/>
      <c r="G91" s="11">
        <f t="shared" si="49"/>
        <v>0</v>
      </c>
      <c r="H91" s="11">
        <f t="shared" si="49"/>
        <v>-100.10100000000001</v>
      </c>
      <c r="I91" s="11">
        <f t="shared" ca="1" si="49"/>
        <v>0</v>
      </c>
      <c r="J91" s="11">
        <f t="shared" ca="1" si="49"/>
        <v>0</v>
      </c>
      <c r="K91" s="11">
        <f t="shared" ca="1" si="49"/>
        <v>0</v>
      </c>
      <c r="L91" s="11">
        <f t="shared" ca="1" si="49"/>
        <v>0</v>
      </c>
      <c r="M91" s="11">
        <f t="shared" ca="1" si="49"/>
        <v>0</v>
      </c>
      <c r="N91" s="11">
        <f t="shared" ca="1" si="49"/>
        <v>0</v>
      </c>
      <c r="O91" s="11"/>
      <c r="P91" s="11"/>
      <c r="R91" s="13"/>
      <c r="S91" s="13"/>
      <c r="T91" s="13"/>
      <c r="U91" s="13"/>
      <c r="V91" s="12">
        <v>0</v>
      </c>
      <c r="W91" s="12">
        <v>0</v>
      </c>
      <c r="X91" s="12">
        <v>0</v>
      </c>
      <c r="Y91" s="12">
        <v>0</v>
      </c>
      <c r="Z91" s="12">
        <v>-19.189</v>
      </c>
      <c r="AA91" s="12">
        <v>-52.575000000000003</v>
      </c>
      <c r="AB91" s="12">
        <v>-28.337</v>
      </c>
      <c r="AC91" s="12">
        <v>0</v>
      </c>
      <c r="AD91" s="46">
        <f ca="1">+IF(Circ=0,0,SUMIFS(Debt!$41:$41,Debt!$3:$3,AD$3))</f>
        <v>0</v>
      </c>
      <c r="AE91" s="46">
        <f ca="1">+IF(Circ=0,0,SUMIFS(Debt!$41:$41,Debt!$3:$3,AE$3))</f>
        <v>0</v>
      </c>
      <c r="AF91" s="46">
        <f ca="1">+IF(Circ=0,0,SUMIFS(Debt!$41:$41,Debt!$3:$3,AF$3))</f>
        <v>0</v>
      </c>
      <c r="AG91" s="46">
        <f ca="1">+IF(Circ=0,0,SUMIFS(Debt!$41:$41,Debt!$3:$3,AG$3))</f>
        <v>0</v>
      </c>
      <c r="AH91" s="46">
        <f ca="1">+IF(Circ=0,0,SUMIFS(Debt!$41:$41,Debt!$3:$3,AH$3))</f>
        <v>0</v>
      </c>
      <c r="AI91" s="46">
        <f ca="1">+IF(Circ=0,0,SUMIFS(Debt!$41:$41,Debt!$3:$3,AI$3))</f>
        <v>0</v>
      </c>
      <c r="AJ91" s="46">
        <f ca="1">+IF(Circ=0,0,SUMIFS(Debt!$41:$41,Debt!$3:$3,AJ$3))</f>
        <v>0</v>
      </c>
      <c r="AK91" s="46">
        <f ca="1">+IF(Circ=0,0,SUMIFS(Debt!$41:$41,Debt!$3:$3,AK$3))</f>
        <v>0</v>
      </c>
      <c r="AL91" s="46">
        <f ca="1">+IF(Circ=0,0,SUMIFS(Debt!$41:$41,Debt!$3:$3,AL$3))</f>
        <v>0</v>
      </c>
      <c r="AM91" s="46">
        <f ca="1">+IF(Circ=0,0,SUMIFS(Debt!$41:$41,Debt!$3:$3,AM$3))</f>
        <v>0</v>
      </c>
      <c r="AN91" s="46">
        <f ca="1">+IF(Circ=0,0,SUMIFS(Debt!$41:$41,Debt!$3:$3,AN$3))</f>
        <v>0</v>
      </c>
      <c r="AO91" s="46">
        <f ca="1">+IF(Circ=0,0,SUMIFS(Debt!$41:$41,Debt!$3:$3,AO$3))</f>
        <v>0</v>
      </c>
      <c r="AP91" s="46">
        <f ca="1">+IF(Circ=0,0,SUMIFS(Debt!$41:$41,Debt!$3:$3,AP$3))</f>
        <v>0</v>
      </c>
      <c r="AQ91" s="46">
        <f ca="1">+IF(Circ=0,0,SUMIFS(Debt!$41:$41,Debt!$3:$3,AQ$3))</f>
        <v>0</v>
      </c>
      <c r="AR91" s="46">
        <f ca="1">+IF(Circ=0,0,SUMIFS(Debt!$41:$41,Debt!$3:$3,AR$3))</f>
        <v>0</v>
      </c>
      <c r="AS91" s="46">
        <f ca="1">+IF(Circ=0,0,SUMIFS(Debt!$41:$41,Debt!$3:$3,AS$3))</f>
        <v>0</v>
      </c>
      <c r="AT91" s="46">
        <f ca="1">+IF(Circ=0,0,SUMIFS(Debt!$41:$41,Debt!$3:$3,AT$3))</f>
        <v>0</v>
      </c>
      <c r="AU91" s="46">
        <f ca="1">+IF(Circ=0,0,SUMIFS(Debt!$41:$41,Debt!$3:$3,AU$3))</f>
        <v>0</v>
      </c>
      <c r="AV91" s="46">
        <f ca="1">+IF(Circ=0,0,SUMIFS(Debt!$41:$41,Debt!$3:$3,AV$3))</f>
        <v>0</v>
      </c>
      <c r="AW91" s="46">
        <f ca="1">+IF(Circ=0,0,SUMIFS(Debt!$41:$41,Debt!$3:$3,AW$3))</f>
        <v>0</v>
      </c>
      <c r="AX91" s="46">
        <f ca="1">+IF(Circ=0,0,SUMIFS(Debt!$41:$41,Debt!$3:$3,AX$3))</f>
        <v>0</v>
      </c>
      <c r="AY91" s="46">
        <f ca="1">+IF(Circ=0,0,SUMIFS(Debt!$41:$41,Debt!$3:$3,AY$3))</f>
        <v>0</v>
      </c>
      <c r="AZ91" s="46">
        <f ca="1">+IF(Circ=0,0,SUMIFS(Debt!$41:$41,Debt!$3:$3,AZ$3))</f>
        <v>0</v>
      </c>
      <c r="BA91" s="46">
        <f ca="1">+IF(Circ=0,0,SUMIFS(Debt!$41:$41,Debt!$3:$3,BA$3))</f>
        <v>0</v>
      </c>
      <c r="BB91" s="8" t="s">
        <v>75</v>
      </c>
    </row>
    <row r="92" spans="2:54" s="2" customFormat="1" x14ac:dyDescent="0.2">
      <c r="B92" s="2" t="s">
        <v>80</v>
      </c>
      <c r="C92" s="45" t="s">
        <v>187</v>
      </c>
      <c r="E92" s="11"/>
      <c r="F92" s="11"/>
      <c r="G92" s="13">
        <f t="shared" si="49"/>
        <v>-213.82</v>
      </c>
      <c r="H92" s="13">
        <f t="shared" si="49"/>
        <v>-99.38300000000001</v>
      </c>
      <c r="I92" s="13">
        <f t="shared" ca="1" si="49"/>
        <v>-24.674368424649611</v>
      </c>
      <c r="J92" s="13">
        <f t="shared" ca="1" si="49"/>
        <v>-174.89121022064256</v>
      </c>
      <c r="K92" s="13">
        <f t="shared" ca="1" si="49"/>
        <v>-399.97903718156834</v>
      </c>
      <c r="L92" s="13">
        <f t="shared" ca="1" si="49"/>
        <v>-550.21591517171805</v>
      </c>
      <c r="M92" s="13">
        <f t="shared" ca="1" si="49"/>
        <v>-663.03258029251288</v>
      </c>
      <c r="N92" s="13">
        <f t="shared" ca="1" si="49"/>
        <v>-738.429239462444</v>
      </c>
      <c r="O92" s="13"/>
      <c r="P92" s="13"/>
      <c r="R92" s="13"/>
      <c r="S92" s="13"/>
      <c r="T92" s="13"/>
      <c r="U92" s="13"/>
      <c r="V92" s="13">
        <f t="shared" ref="V92:BA92" si="52">+SUM(V86:V91)</f>
        <v>-22.779</v>
      </c>
      <c r="W92" s="13">
        <f t="shared" si="52"/>
        <v>-162.36082400856026</v>
      </c>
      <c r="X92" s="13">
        <f t="shared" si="52"/>
        <v>-12.743456793613285</v>
      </c>
      <c r="Y92" s="13">
        <f t="shared" si="52"/>
        <v>-15.936719197826454</v>
      </c>
      <c r="Z92" s="13">
        <f t="shared" si="52"/>
        <v>-35.75</v>
      </c>
      <c r="AA92" s="13">
        <f t="shared" si="52"/>
        <v>-70.484000000000009</v>
      </c>
      <c r="AB92" s="13">
        <f t="shared" si="52"/>
        <v>19.013999999999999</v>
      </c>
      <c r="AC92" s="13">
        <f t="shared" si="52"/>
        <v>-12.162999999999998</v>
      </c>
      <c r="AD92" s="13">
        <f t="shared" ca="1" si="52"/>
        <v>0</v>
      </c>
      <c r="AE92" s="13">
        <f t="shared" ca="1" si="52"/>
        <v>-12.275957868656718</v>
      </c>
      <c r="AF92" s="13">
        <f t="shared" ca="1" si="52"/>
        <v>0</v>
      </c>
      <c r="AG92" s="13">
        <f t="shared" ca="1" si="52"/>
        <v>-12.398410555992893</v>
      </c>
      <c r="AH92" s="13">
        <f t="shared" ca="1" si="52"/>
        <v>0</v>
      </c>
      <c r="AI92" s="13">
        <f t="shared" ca="1" si="52"/>
        <v>-12.522084708961017</v>
      </c>
      <c r="AJ92" s="13">
        <f t="shared" ca="1" si="52"/>
        <v>-74.861066500000007</v>
      </c>
      <c r="AK92" s="13">
        <f t="shared" ca="1" si="52"/>
        <v>-87.508059011681539</v>
      </c>
      <c r="AL92" s="13">
        <f t="shared" ca="1" si="52"/>
        <v>-74.861066500000007</v>
      </c>
      <c r="AM92" s="13">
        <f t="shared" ca="1" si="52"/>
        <v>-87.634212769811484</v>
      </c>
      <c r="AN92" s="13">
        <f t="shared" ca="1" si="52"/>
        <v>-112.29159975000002</v>
      </c>
      <c r="AO92" s="13">
        <f t="shared" ca="1" si="52"/>
        <v>-125.19215816175684</v>
      </c>
      <c r="AP92" s="13">
        <f t="shared" ca="1" si="52"/>
        <v>-112.29159975000002</v>
      </c>
      <c r="AQ92" s="13">
        <f t="shared" ca="1" si="52"/>
        <v>-125.32084123989694</v>
      </c>
      <c r="AR92" s="13">
        <f t="shared" ca="1" si="52"/>
        <v>-149.72213300000001</v>
      </c>
      <c r="AS92" s="13">
        <f t="shared" ca="1" si="52"/>
        <v>-162.88134118182111</v>
      </c>
      <c r="AT92" s="13">
        <f t="shared" ca="1" si="52"/>
        <v>-149.72213300000001</v>
      </c>
      <c r="AU92" s="13">
        <f t="shared" ca="1" si="52"/>
        <v>-163.01260429157765</v>
      </c>
      <c r="AV92" s="13">
        <f t="shared" ca="1" si="52"/>
        <v>-168.43739962500001</v>
      </c>
      <c r="AW92" s="13">
        <f t="shared" ca="1" si="52"/>
        <v>-181.86044337593523</v>
      </c>
      <c r="AX92" s="13">
        <f t="shared" ca="1" si="52"/>
        <v>-168.43739962500001</v>
      </c>
      <c r="AY92" s="13">
        <f t="shared" ca="1" si="52"/>
        <v>-181.99433824565696</v>
      </c>
      <c r="AZ92" s="13">
        <f t="shared" ca="1" si="52"/>
        <v>-187.15266625000001</v>
      </c>
      <c r="BA92" s="13">
        <f t="shared" ca="1" si="52"/>
        <v>-200.84483534178699</v>
      </c>
      <c r="BB92" s="83" t="s">
        <v>75</v>
      </c>
    </row>
    <row r="93" spans="2:54" x14ac:dyDescent="0.2">
      <c r="B93" s="19" t="s">
        <v>81</v>
      </c>
      <c r="C93" s="45" t="s">
        <v>187</v>
      </c>
      <c r="D93" s="19"/>
      <c r="E93" s="11"/>
      <c r="F93" s="11"/>
      <c r="G93" s="11">
        <f t="shared" si="49"/>
        <v>2.3560000000000016</v>
      </c>
      <c r="H93" s="11">
        <f t="shared" si="49"/>
        <v>11.9</v>
      </c>
      <c r="I93" s="11">
        <f t="shared" si="49"/>
        <v>0</v>
      </c>
      <c r="J93" s="11">
        <f t="shared" si="49"/>
        <v>0</v>
      </c>
      <c r="K93" s="11">
        <f t="shared" si="49"/>
        <v>0</v>
      </c>
      <c r="L93" s="11">
        <f t="shared" si="49"/>
        <v>0</v>
      </c>
      <c r="M93" s="11">
        <f t="shared" si="49"/>
        <v>0</v>
      </c>
      <c r="N93" s="11">
        <f t="shared" si="49"/>
        <v>0</v>
      </c>
      <c r="O93" s="11"/>
      <c r="P93" s="11"/>
      <c r="R93" s="13"/>
      <c r="S93" s="13"/>
      <c r="T93" s="13"/>
      <c r="U93" s="13"/>
      <c r="V93" s="12">
        <v>4.45</v>
      </c>
      <c r="W93" s="12">
        <v>-4.0069999999999997</v>
      </c>
      <c r="X93" s="12">
        <v>9.8263679311227463</v>
      </c>
      <c r="Y93" s="12">
        <v>-7.9133679311227461</v>
      </c>
      <c r="Z93" s="12">
        <v>22.677929565581</v>
      </c>
      <c r="AA93" s="12">
        <v>-15.358890407270053</v>
      </c>
      <c r="AB93" s="12">
        <v>3.1923892229756747</v>
      </c>
      <c r="AC93" s="12">
        <v>1.3885716187133803</v>
      </c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8" t="s">
        <v>75</v>
      </c>
    </row>
    <row r="94" spans="2:54" s="2" customFormat="1" x14ac:dyDescent="0.2">
      <c r="B94" s="2" t="s">
        <v>82</v>
      </c>
      <c r="C94" s="45" t="s">
        <v>187</v>
      </c>
      <c r="E94" s="11"/>
      <c r="F94" s="11"/>
      <c r="G94" s="13">
        <f t="shared" si="49"/>
        <v>-90.500999999999877</v>
      </c>
      <c r="H94" s="13">
        <f t="shared" si="49"/>
        <v>174.55399999999997</v>
      </c>
      <c r="I94" s="13">
        <f t="shared" ca="1" si="49"/>
        <v>-16.871585069507489</v>
      </c>
      <c r="J94" s="13">
        <f t="shared" ca="1" si="49"/>
        <v>33.992059330060357</v>
      </c>
      <c r="K94" s="13">
        <f t="shared" ca="1" si="49"/>
        <v>95.825403766276054</v>
      </c>
      <c r="L94" s="13">
        <f t="shared" ca="1" si="49"/>
        <v>31.425813835204707</v>
      </c>
      <c r="M94" s="13">
        <f t="shared" ca="1" si="49"/>
        <v>-1.0193638101214333</v>
      </c>
      <c r="N94" s="13">
        <f t="shared" ca="1" si="49"/>
        <v>10.297224942546933</v>
      </c>
      <c r="O94" s="13"/>
      <c r="P94" s="13"/>
      <c r="R94" s="13"/>
      <c r="S94" s="13"/>
      <c r="T94" s="13"/>
      <c r="U94" s="13"/>
      <c r="V94" s="13">
        <f t="shared" ref="V94:BA94" si="53">+V93+V92+V83+V72</f>
        <v>148.12049110517694</v>
      </c>
      <c r="W94" s="13">
        <f t="shared" si="53"/>
        <v>-219.42651521463361</v>
      </c>
      <c r="X94" s="13">
        <f t="shared" si="53"/>
        <v>-11.22693104309117</v>
      </c>
      <c r="Y94" s="13">
        <f t="shared" si="53"/>
        <v>-7.9680448474520347</v>
      </c>
      <c r="Z94" s="13">
        <f t="shared" si="53"/>
        <v>104.45992956558098</v>
      </c>
      <c r="AA94" s="13">
        <f t="shared" si="53"/>
        <v>-127.71089040726997</v>
      </c>
      <c r="AB94" s="13">
        <f t="shared" si="53"/>
        <v>19.36038990973314</v>
      </c>
      <c r="AC94" s="13">
        <f t="shared" si="53"/>
        <v>178.44457093195584</v>
      </c>
      <c r="AD94" s="13">
        <f t="shared" ca="1" si="53"/>
        <v>-61.008890019340456</v>
      </c>
      <c r="AE94" s="13">
        <f t="shared" ca="1" si="53"/>
        <v>-33.991717212679561</v>
      </c>
      <c r="AF94" s="13">
        <f t="shared" ca="1" si="53"/>
        <v>62.901486986099428</v>
      </c>
      <c r="AG94" s="13">
        <f t="shared" ca="1" si="53"/>
        <v>15.227535176413099</v>
      </c>
      <c r="AH94" s="13">
        <f t="shared" ca="1" si="53"/>
        <v>4.7119538498573945</v>
      </c>
      <c r="AI94" s="13">
        <f t="shared" ca="1" si="53"/>
        <v>69.624675820399204</v>
      </c>
      <c r="AJ94" s="13">
        <f t="shared" ca="1" si="53"/>
        <v>22.178497622706061</v>
      </c>
      <c r="AK94" s="13">
        <f t="shared" ca="1" si="53"/>
        <v>-62.523067962902303</v>
      </c>
      <c r="AL94" s="13">
        <f t="shared" ca="1" si="53"/>
        <v>-1.9139610882765226</v>
      </c>
      <c r="AM94" s="13">
        <f t="shared" ca="1" si="53"/>
        <v>70.66399575082761</v>
      </c>
      <c r="AN94" s="13">
        <f t="shared" ca="1" si="53"/>
        <v>60.067471139922304</v>
      </c>
      <c r="AO94" s="13">
        <f t="shared" ca="1" si="53"/>
        <v>-32.992102036197338</v>
      </c>
      <c r="AP94" s="13">
        <f t="shared" ca="1" si="53"/>
        <v>-23.782930456702559</v>
      </c>
      <c r="AQ94" s="13">
        <f t="shared" ca="1" si="53"/>
        <v>57.84170163958575</v>
      </c>
      <c r="AR94" s="13">
        <f t="shared" ca="1" si="53"/>
        <v>49.913784418708047</v>
      </c>
      <c r="AS94" s="13">
        <f t="shared" ca="1" si="53"/>
        <v>-52.546741766386532</v>
      </c>
      <c r="AT94" s="13">
        <f t="shared" ca="1" si="53"/>
        <v>-48.920602824094573</v>
      </c>
      <c r="AU94" s="13">
        <f t="shared" ca="1" si="53"/>
        <v>45.471363711453535</v>
      </c>
      <c r="AV94" s="13">
        <f t="shared" ca="1" si="53"/>
        <v>57.938768559779021</v>
      </c>
      <c r="AW94" s="13">
        <f t="shared" ca="1" si="53"/>
        <v>-55.508893257259416</v>
      </c>
      <c r="AX94" s="13">
        <f t="shared" ca="1" si="53"/>
        <v>-53.158130231948377</v>
      </c>
      <c r="AY94" s="13">
        <f t="shared" ca="1" si="53"/>
        <v>52.711195813140932</v>
      </c>
      <c r="AZ94" s="13">
        <f t="shared" ca="1" si="53"/>
        <v>67.936668621103138</v>
      </c>
      <c r="BA94" s="13">
        <f t="shared" ca="1" si="53"/>
        <v>-57.192509259748761</v>
      </c>
      <c r="BB94" s="83" t="s">
        <v>75</v>
      </c>
    </row>
    <row r="95" spans="2:54" x14ac:dyDescent="0.2">
      <c r="E95" s="11"/>
      <c r="F95" s="11"/>
      <c r="R95" s="13"/>
      <c r="S95" s="13"/>
      <c r="T95" s="13"/>
      <c r="U95" s="13"/>
      <c r="BB95" s="8" t="s">
        <v>75</v>
      </c>
    </row>
    <row r="96" spans="2:54" x14ac:dyDescent="0.2">
      <c r="B96" s="1" t="s">
        <v>84</v>
      </c>
      <c r="C96" s="45" t="s">
        <v>187</v>
      </c>
      <c r="E96" s="11"/>
      <c r="F96" s="11"/>
      <c r="G96" s="11">
        <f>+SUMIFS(96:96,$3:$3,"1Q"&amp;RIGHT(G$3,2))</f>
        <v>135.667</v>
      </c>
      <c r="H96" s="11">
        <f>+G97</f>
        <v>45.165999999999997</v>
      </c>
      <c r="I96" s="11">
        <f t="shared" ref="I96:N96" si="54">+H97</f>
        <v>214.84800000000001</v>
      </c>
      <c r="J96" s="11">
        <f t="shared" ca="1" si="54"/>
        <v>197.97641493049252</v>
      </c>
      <c r="K96" s="11">
        <f t="shared" ca="1" si="54"/>
        <v>231.96847426055285</v>
      </c>
      <c r="L96" s="11">
        <f t="shared" ca="1" si="54"/>
        <v>327.79387802682891</v>
      </c>
      <c r="M96" s="11">
        <f t="shared" ca="1" si="54"/>
        <v>359.21969186203364</v>
      </c>
      <c r="N96" s="11">
        <f t="shared" ca="1" si="54"/>
        <v>358.20032805191227</v>
      </c>
      <c r="O96" s="11"/>
      <c r="P96" s="11"/>
      <c r="R96" s="13"/>
      <c r="S96" s="13"/>
      <c r="T96" s="13"/>
      <c r="U96" s="13"/>
      <c r="V96" s="12">
        <v>135.667</v>
      </c>
      <c r="W96" s="12">
        <v>135.667</v>
      </c>
      <c r="X96" s="12">
        <v>135.667</v>
      </c>
      <c r="Y96" s="12">
        <v>135.667</v>
      </c>
      <c r="Z96" s="12">
        <v>45.165999999999997</v>
      </c>
      <c r="AA96" s="12">
        <v>45.165999999999997</v>
      </c>
      <c r="AB96" s="12">
        <v>45.165999999999997</v>
      </c>
      <c r="AC96" s="12">
        <v>-90.331999999999994</v>
      </c>
      <c r="AD96" s="11">
        <f>+AC97</f>
        <v>214.84800000000001</v>
      </c>
      <c r="AE96" s="11">
        <f t="shared" ref="AE96:BA96" ca="1" si="55">+AD97</f>
        <v>153.83910998065954</v>
      </c>
      <c r="AF96" s="11">
        <f t="shared" ca="1" si="55"/>
        <v>119.84739276797998</v>
      </c>
      <c r="AG96" s="11">
        <f t="shared" ca="1" si="55"/>
        <v>182.74887975407941</v>
      </c>
      <c r="AH96" s="11">
        <f t="shared" ca="1" si="55"/>
        <v>197.97641493049252</v>
      </c>
      <c r="AI96" s="11">
        <f t="shared" ca="1" si="55"/>
        <v>202.68836878034992</v>
      </c>
      <c r="AJ96" s="11">
        <f t="shared" ca="1" si="55"/>
        <v>272.31304460074909</v>
      </c>
      <c r="AK96" s="11">
        <f t="shared" ca="1" si="55"/>
        <v>294.49154222345516</v>
      </c>
      <c r="AL96" s="11">
        <f t="shared" ca="1" si="55"/>
        <v>231.96847426055285</v>
      </c>
      <c r="AM96" s="11">
        <f t="shared" ca="1" si="55"/>
        <v>230.05451317227633</v>
      </c>
      <c r="AN96" s="11">
        <f t="shared" ca="1" si="55"/>
        <v>300.71850892310397</v>
      </c>
      <c r="AO96" s="11">
        <f t="shared" ca="1" si="55"/>
        <v>360.78598006302627</v>
      </c>
      <c r="AP96" s="11">
        <f t="shared" ca="1" si="55"/>
        <v>327.79387802682891</v>
      </c>
      <c r="AQ96" s="11">
        <f t="shared" ca="1" si="55"/>
        <v>304.01094757012635</v>
      </c>
      <c r="AR96" s="11">
        <f t="shared" ca="1" si="55"/>
        <v>361.85264920971213</v>
      </c>
      <c r="AS96" s="11">
        <f t="shared" ca="1" si="55"/>
        <v>411.76643362842015</v>
      </c>
      <c r="AT96" s="11">
        <f t="shared" ca="1" si="55"/>
        <v>359.21969186203364</v>
      </c>
      <c r="AU96" s="11">
        <f t="shared" ca="1" si="55"/>
        <v>310.2990890379391</v>
      </c>
      <c r="AV96" s="11">
        <f t="shared" ca="1" si="55"/>
        <v>355.77045274939263</v>
      </c>
      <c r="AW96" s="11">
        <f t="shared" ca="1" si="55"/>
        <v>413.70922130917165</v>
      </c>
      <c r="AX96" s="11">
        <f t="shared" ca="1" si="55"/>
        <v>358.20032805191227</v>
      </c>
      <c r="AY96" s="11">
        <f t="shared" ca="1" si="55"/>
        <v>305.04219781996392</v>
      </c>
      <c r="AZ96" s="11">
        <f t="shared" ca="1" si="55"/>
        <v>357.75339363310485</v>
      </c>
      <c r="BA96" s="11">
        <f t="shared" ca="1" si="55"/>
        <v>425.69006225420799</v>
      </c>
      <c r="BB96" s="8" t="s">
        <v>75</v>
      </c>
    </row>
    <row r="97" spans="1:54" x14ac:dyDescent="0.2">
      <c r="B97" s="1" t="s">
        <v>85</v>
      </c>
      <c r="C97" s="45" t="s">
        <v>187</v>
      </c>
      <c r="E97" s="11"/>
      <c r="F97" s="11"/>
      <c r="G97" s="11">
        <f t="shared" ref="G97:N97" si="56">+SUMIFS(97:97,$3:$3,"4Q"&amp;RIGHT(G$3,2))</f>
        <v>45.165999999999997</v>
      </c>
      <c r="H97" s="11">
        <f t="shared" si="56"/>
        <v>214.84800000000001</v>
      </c>
      <c r="I97" s="11">
        <f t="shared" ca="1" si="56"/>
        <v>197.97641493049252</v>
      </c>
      <c r="J97" s="11">
        <f t="shared" ca="1" si="56"/>
        <v>231.96847426055285</v>
      </c>
      <c r="K97" s="11">
        <f t="shared" ca="1" si="56"/>
        <v>327.79387802682891</v>
      </c>
      <c r="L97" s="11">
        <f t="shared" ca="1" si="56"/>
        <v>359.21969186203364</v>
      </c>
      <c r="M97" s="11">
        <f t="shared" ca="1" si="56"/>
        <v>358.20032805191227</v>
      </c>
      <c r="N97" s="11">
        <f t="shared" ca="1" si="56"/>
        <v>368.49755299445923</v>
      </c>
      <c r="O97" s="11"/>
      <c r="P97" s="11"/>
      <c r="R97" s="13"/>
      <c r="S97" s="13"/>
      <c r="T97" s="13"/>
      <c r="U97" s="13"/>
      <c r="V97" s="11">
        <f t="shared" ref="V97:AD97" si="57">+V101</f>
        <v>283.78656169925296</v>
      </c>
      <c r="W97" s="11">
        <f t="shared" si="57"/>
        <v>64.361000000000004</v>
      </c>
      <c r="X97" s="11">
        <f t="shared" si="57"/>
        <v>53.131999999999998</v>
      </c>
      <c r="Y97" s="11">
        <f t="shared" si="57"/>
        <v>45.165999999999997</v>
      </c>
      <c r="Z97" s="11">
        <f t="shared" si="57"/>
        <v>149.626</v>
      </c>
      <c r="AA97" s="11">
        <f t="shared" si="57"/>
        <v>21.914999999999999</v>
      </c>
      <c r="AB97" s="11">
        <f t="shared" si="57"/>
        <v>41.274999999999999</v>
      </c>
      <c r="AC97" s="11">
        <f t="shared" si="57"/>
        <v>214.84800000000001</v>
      </c>
      <c r="AD97" s="11">
        <f t="shared" ca="1" si="57"/>
        <v>153.83910998065954</v>
      </c>
      <c r="AE97" s="11">
        <f t="shared" ref="AE97:BA97" ca="1" si="58">+AE101</f>
        <v>119.84739276797998</v>
      </c>
      <c r="AF97" s="11">
        <f t="shared" ca="1" si="58"/>
        <v>182.74887975407941</v>
      </c>
      <c r="AG97" s="11">
        <f t="shared" ca="1" si="58"/>
        <v>197.97641493049252</v>
      </c>
      <c r="AH97" s="11">
        <f t="shared" ca="1" si="58"/>
        <v>202.68836878034992</v>
      </c>
      <c r="AI97" s="11">
        <f t="shared" ca="1" si="58"/>
        <v>272.31304460074909</v>
      </c>
      <c r="AJ97" s="11">
        <f t="shared" ca="1" si="58"/>
        <v>294.49154222345516</v>
      </c>
      <c r="AK97" s="11">
        <f t="shared" ca="1" si="58"/>
        <v>231.96847426055285</v>
      </c>
      <c r="AL97" s="11">
        <f t="shared" ca="1" si="58"/>
        <v>230.05451317227633</v>
      </c>
      <c r="AM97" s="11">
        <f t="shared" ca="1" si="58"/>
        <v>300.71850892310397</v>
      </c>
      <c r="AN97" s="11">
        <f t="shared" ca="1" si="58"/>
        <v>360.78598006302627</v>
      </c>
      <c r="AO97" s="11">
        <f t="shared" ca="1" si="58"/>
        <v>327.79387802682891</v>
      </c>
      <c r="AP97" s="11">
        <f t="shared" ca="1" si="58"/>
        <v>304.01094757012635</v>
      </c>
      <c r="AQ97" s="11">
        <f t="shared" ca="1" si="58"/>
        <v>361.85264920971213</v>
      </c>
      <c r="AR97" s="11">
        <f t="shared" ca="1" si="58"/>
        <v>411.76643362842015</v>
      </c>
      <c r="AS97" s="11">
        <f t="shared" ca="1" si="58"/>
        <v>359.21969186203364</v>
      </c>
      <c r="AT97" s="11">
        <f t="shared" ca="1" si="58"/>
        <v>310.2990890379391</v>
      </c>
      <c r="AU97" s="11">
        <f t="shared" ca="1" si="58"/>
        <v>355.77045274939263</v>
      </c>
      <c r="AV97" s="11">
        <f t="shared" ca="1" si="58"/>
        <v>413.70922130917165</v>
      </c>
      <c r="AW97" s="11">
        <f t="shared" ca="1" si="58"/>
        <v>358.20032805191227</v>
      </c>
      <c r="AX97" s="11">
        <f t="shared" ca="1" si="58"/>
        <v>305.04219781996392</v>
      </c>
      <c r="AY97" s="11">
        <f t="shared" ca="1" si="58"/>
        <v>357.75339363310485</v>
      </c>
      <c r="AZ97" s="11">
        <f t="shared" ca="1" si="58"/>
        <v>425.69006225420799</v>
      </c>
      <c r="BA97" s="11">
        <f t="shared" ca="1" si="58"/>
        <v>368.49755299445923</v>
      </c>
      <c r="BB97" s="8" t="s">
        <v>75</v>
      </c>
    </row>
    <row r="98" spans="1:54" x14ac:dyDescent="0.2">
      <c r="B98" s="1" t="s">
        <v>83</v>
      </c>
      <c r="C98" s="45" t="s">
        <v>187</v>
      </c>
      <c r="E98" s="11"/>
      <c r="F98" s="11"/>
      <c r="G98" s="11">
        <f>+G97-G96</f>
        <v>-90.501000000000005</v>
      </c>
      <c r="H98" s="11">
        <f t="shared" ref="H98:N98" si="59">+H97-H96</f>
        <v>169.68200000000002</v>
      </c>
      <c r="I98" s="11">
        <f t="shared" ca="1" si="59"/>
        <v>-16.871585069507489</v>
      </c>
      <c r="J98" s="11">
        <f t="shared" ca="1" si="59"/>
        <v>33.992059330060329</v>
      </c>
      <c r="K98" s="11">
        <f t="shared" ca="1" si="59"/>
        <v>95.825403766276054</v>
      </c>
      <c r="L98" s="11">
        <f t="shared" ca="1" si="59"/>
        <v>31.425813835204735</v>
      </c>
      <c r="M98" s="11">
        <f t="shared" ca="1" si="59"/>
        <v>-1.0193638101213764</v>
      </c>
      <c r="N98" s="11">
        <f t="shared" ca="1" si="59"/>
        <v>10.297224942546961</v>
      </c>
      <c r="O98" s="11"/>
      <c r="P98" s="11"/>
      <c r="R98" s="13"/>
      <c r="S98" s="13"/>
      <c r="T98" s="13"/>
      <c r="U98" s="13"/>
      <c r="V98" s="11">
        <f>+V97-V96</f>
        <v>148.11956169925296</v>
      </c>
      <c r="W98" s="11">
        <f t="shared" ref="W98:AD98" si="60">+W97-W96</f>
        <v>-71.305999999999997</v>
      </c>
      <c r="X98" s="11">
        <f t="shared" si="60"/>
        <v>-82.534999999999997</v>
      </c>
      <c r="Y98" s="11">
        <f t="shared" si="60"/>
        <v>-90.501000000000005</v>
      </c>
      <c r="Z98" s="11">
        <f t="shared" si="60"/>
        <v>104.46000000000001</v>
      </c>
      <c r="AA98" s="11">
        <f t="shared" si="60"/>
        <v>-23.250999999999998</v>
      </c>
      <c r="AB98" s="11">
        <f t="shared" si="60"/>
        <v>-3.8909999999999982</v>
      </c>
      <c r="AC98" s="11">
        <f t="shared" si="60"/>
        <v>305.18</v>
      </c>
      <c r="AD98" s="11">
        <f t="shared" ca="1" si="60"/>
        <v>-61.00889001934047</v>
      </c>
      <c r="AE98" s="11">
        <f t="shared" ref="AE98:BA98" ca="1" si="61">+AE97-AE96</f>
        <v>-33.991717212679561</v>
      </c>
      <c r="AF98" s="11">
        <f t="shared" ca="1" si="61"/>
        <v>62.901486986099428</v>
      </c>
      <c r="AG98" s="11">
        <f t="shared" ca="1" si="61"/>
        <v>15.227535176413113</v>
      </c>
      <c r="AH98" s="11">
        <f t="shared" ca="1" si="61"/>
        <v>4.7119538498573945</v>
      </c>
      <c r="AI98" s="11">
        <f t="shared" ca="1" si="61"/>
        <v>69.624675820399176</v>
      </c>
      <c r="AJ98" s="11">
        <f t="shared" ca="1" si="61"/>
        <v>22.178497622706061</v>
      </c>
      <c r="AK98" s="11">
        <f t="shared" ca="1" si="61"/>
        <v>-62.523067962902303</v>
      </c>
      <c r="AL98" s="11">
        <f t="shared" ca="1" si="61"/>
        <v>-1.9139610882765226</v>
      </c>
      <c r="AM98" s="11">
        <f t="shared" ca="1" si="61"/>
        <v>70.663995750827638</v>
      </c>
      <c r="AN98" s="11">
        <f t="shared" ca="1" si="61"/>
        <v>60.067471139922304</v>
      </c>
      <c r="AO98" s="11">
        <f t="shared" ca="1" si="61"/>
        <v>-32.992102036197366</v>
      </c>
      <c r="AP98" s="11">
        <f t="shared" ca="1" si="61"/>
        <v>-23.782930456702559</v>
      </c>
      <c r="AQ98" s="11">
        <f t="shared" ca="1" si="61"/>
        <v>57.841701639585779</v>
      </c>
      <c r="AR98" s="11">
        <f t="shared" ca="1" si="61"/>
        <v>49.913784418708019</v>
      </c>
      <c r="AS98" s="11">
        <f t="shared" ca="1" si="61"/>
        <v>-52.546741766386504</v>
      </c>
      <c r="AT98" s="11">
        <f t="shared" ca="1" si="61"/>
        <v>-48.920602824094544</v>
      </c>
      <c r="AU98" s="11">
        <f t="shared" ca="1" si="61"/>
        <v>45.471363711453535</v>
      </c>
      <c r="AV98" s="11">
        <f t="shared" ca="1" si="61"/>
        <v>57.938768559779021</v>
      </c>
      <c r="AW98" s="11">
        <f t="shared" ca="1" si="61"/>
        <v>-55.508893257259388</v>
      </c>
      <c r="AX98" s="11">
        <f t="shared" ca="1" si="61"/>
        <v>-53.158130231948348</v>
      </c>
      <c r="AY98" s="11">
        <f t="shared" ca="1" si="61"/>
        <v>52.711195813140932</v>
      </c>
      <c r="AZ98" s="11">
        <f t="shared" ca="1" si="61"/>
        <v>67.936668621103138</v>
      </c>
      <c r="BA98" s="11">
        <f t="shared" ca="1" si="61"/>
        <v>-57.192509259748761</v>
      </c>
      <c r="BB98" s="8" t="s">
        <v>75</v>
      </c>
    </row>
    <row r="99" spans="1:54" s="3" customFormat="1" x14ac:dyDescent="0.2">
      <c r="A99" s="17" t="s">
        <v>75</v>
      </c>
      <c r="B99" s="3" t="s">
        <v>86</v>
      </c>
      <c r="AD99" s="109"/>
      <c r="BB99" s="87" t="s">
        <v>75</v>
      </c>
    </row>
    <row r="100" spans="1:54" x14ac:dyDescent="0.2">
      <c r="B100" s="2" t="s">
        <v>87</v>
      </c>
      <c r="C100" s="2"/>
      <c r="D100" s="2"/>
      <c r="E100" s="11"/>
      <c r="AG100" s="159"/>
      <c r="BB100" s="8" t="s">
        <v>75</v>
      </c>
    </row>
    <row r="101" spans="1:54" x14ac:dyDescent="0.2">
      <c r="B101" s="19" t="s">
        <v>97</v>
      </c>
      <c r="C101" s="45" t="s">
        <v>187</v>
      </c>
      <c r="D101" s="19"/>
      <c r="E101" s="11"/>
      <c r="F101" s="11">
        <f t="shared" ref="F101:N111" si="62">+SUMIFS(101:101,$3:$3,"4Q"&amp;RIGHT(F$3,2))</f>
        <v>135.667</v>
      </c>
      <c r="G101" s="11">
        <f t="shared" si="62"/>
        <v>45.165999999999997</v>
      </c>
      <c r="H101" s="11">
        <f t="shared" si="62"/>
        <v>214.84800000000001</v>
      </c>
      <c r="I101" s="11">
        <f t="shared" ca="1" si="62"/>
        <v>197.97641493049252</v>
      </c>
      <c r="J101" s="11">
        <f t="shared" ca="1" si="62"/>
        <v>231.96847426055285</v>
      </c>
      <c r="K101" s="11">
        <f t="shared" ca="1" si="62"/>
        <v>327.79387802682891</v>
      </c>
      <c r="L101" s="11">
        <f t="shared" ca="1" si="62"/>
        <v>359.21969186203364</v>
      </c>
      <c r="M101" s="11">
        <f t="shared" ca="1" si="62"/>
        <v>358.20032805191227</v>
      </c>
      <c r="N101" s="11">
        <f t="shared" ca="1" si="62"/>
        <v>368.49755299445923</v>
      </c>
      <c r="O101" s="11"/>
      <c r="P101" s="11"/>
      <c r="R101" s="12">
        <v>78.456999999999994</v>
      </c>
      <c r="S101" s="12">
        <v>43.69</v>
      </c>
      <c r="T101" s="12">
        <v>307.90100000000001</v>
      </c>
      <c r="U101" s="12">
        <v>135.667</v>
      </c>
      <c r="V101" s="12">
        <v>283.78656169925296</v>
      </c>
      <c r="W101" s="12">
        <v>64.361000000000004</v>
      </c>
      <c r="X101" s="12">
        <v>53.131999999999998</v>
      </c>
      <c r="Y101" s="12">
        <v>45.165999999999997</v>
      </c>
      <c r="Z101" s="12">
        <v>149.626</v>
      </c>
      <c r="AA101" s="12">
        <v>21.914999999999999</v>
      </c>
      <c r="AB101" s="12">
        <v>41.274999999999999</v>
      </c>
      <c r="AC101" s="12">
        <v>214.84800000000001</v>
      </c>
      <c r="AD101" s="11">
        <f t="shared" ref="AD101:BA101" ca="1" si="63">+AC101+AD94</f>
        <v>153.83910998065954</v>
      </c>
      <c r="AE101" s="11">
        <f t="shared" ca="1" si="63"/>
        <v>119.84739276797998</v>
      </c>
      <c r="AF101" s="11">
        <f t="shared" ca="1" si="63"/>
        <v>182.74887975407941</v>
      </c>
      <c r="AG101" s="11">
        <f t="shared" ca="1" si="63"/>
        <v>197.97641493049252</v>
      </c>
      <c r="AH101" s="11">
        <f t="shared" ca="1" si="63"/>
        <v>202.68836878034992</v>
      </c>
      <c r="AI101" s="11">
        <f t="shared" ca="1" si="63"/>
        <v>272.31304460074909</v>
      </c>
      <c r="AJ101" s="11">
        <f t="shared" ca="1" si="63"/>
        <v>294.49154222345516</v>
      </c>
      <c r="AK101" s="11">
        <f t="shared" ca="1" si="63"/>
        <v>231.96847426055285</v>
      </c>
      <c r="AL101" s="11">
        <f t="shared" ca="1" si="63"/>
        <v>230.05451317227633</v>
      </c>
      <c r="AM101" s="11">
        <f t="shared" ca="1" si="63"/>
        <v>300.71850892310397</v>
      </c>
      <c r="AN101" s="11">
        <f t="shared" ca="1" si="63"/>
        <v>360.78598006302627</v>
      </c>
      <c r="AO101" s="11">
        <f t="shared" ca="1" si="63"/>
        <v>327.79387802682891</v>
      </c>
      <c r="AP101" s="11">
        <f t="shared" ca="1" si="63"/>
        <v>304.01094757012635</v>
      </c>
      <c r="AQ101" s="11">
        <f t="shared" ca="1" si="63"/>
        <v>361.85264920971213</v>
      </c>
      <c r="AR101" s="11">
        <f t="shared" ca="1" si="63"/>
        <v>411.76643362842015</v>
      </c>
      <c r="AS101" s="11">
        <f t="shared" ca="1" si="63"/>
        <v>359.21969186203364</v>
      </c>
      <c r="AT101" s="11">
        <f t="shared" ca="1" si="63"/>
        <v>310.2990890379391</v>
      </c>
      <c r="AU101" s="11">
        <f t="shared" ca="1" si="63"/>
        <v>355.77045274939263</v>
      </c>
      <c r="AV101" s="11">
        <f t="shared" ca="1" si="63"/>
        <v>413.70922130917165</v>
      </c>
      <c r="AW101" s="11">
        <f t="shared" ca="1" si="63"/>
        <v>358.20032805191227</v>
      </c>
      <c r="AX101" s="11">
        <f t="shared" ca="1" si="63"/>
        <v>305.04219781996392</v>
      </c>
      <c r="AY101" s="11">
        <f t="shared" ca="1" si="63"/>
        <v>357.75339363310485</v>
      </c>
      <c r="AZ101" s="11">
        <f t="shared" ca="1" si="63"/>
        <v>425.69006225420799</v>
      </c>
      <c r="BA101" s="11">
        <f t="shared" ca="1" si="63"/>
        <v>368.49755299445923</v>
      </c>
      <c r="BB101" s="8" t="s">
        <v>75</v>
      </c>
    </row>
    <row r="102" spans="1:54" x14ac:dyDescent="0.2">
      <c r="B102" s="19" t="s">
        <v>98</v>
      </c>
      <c r="C102" s="45" t="s">
        <v>187</v>
      </c>
      <c r="D102" s="19"/>
      <c r="E102" s="11"/>
      <c r="F102" s="11">
        <f t="shared" si="62"/>
        <v>953.03599999999994</v>
      </c>
      <c r="G102" s="11">
        <f t="shared" si="62"/>
        <v>913.97199999999998</v>
      </c>
      <c r="H102" s="11">
        <f t="shared" si="62"/>
        <v>816.04399999999998</v>
      </c>
      <c r="I102" s="11">
        <f t="shared" si="62"/>
        <v>816.04399999999998</v>
      </c>
      <c r="J102" s="11">
        <f t="shared" si="62"/>
        <v>816.04399999999998</v>
      </c>
      <c r="K102" s="11">
        <f t="shared" si="62"/>
        <v>816.04399999999998</v>
      </c>
      <c r="L102" s="11">
        <f t="shared" si="62"/>
        <v>816.04399999999998</v>
      </c>
      <c r="M102" s="11">
        <f t="shared" si="62"/>
        <v>816.04399999999998</v>
      </c>
      <c r="N102" s="11">
        <f t="shared" si="62"/>
        <v>816.04399999999998</v>
      </c>
      <c r="O102" s="11"/>
      <c r="P102" s="11"/>
      <c r="R102" s="12">
        <v>587.41099999999994</v>
      </c>
      <c r="S102" s="12">
        <v>934.47199999999998</v>
      </c>
      <c r="T102" s="12">
        <v>674.13400000000001</v>
      </c>
      <c r="U102" s="12">
        <v>953.03599999999994</v>
      </c>
      <c r="V102" s="12">
        <v>707.21784547771779</v>
      </c>
      <c r="W102" s="12">
        <v>823.74</v>
      </c>
      <c r="X102" s="12">
        <v>916.24800000000005</v>
      </c>
      <c r="Y102" s="12">
        <v>913.97199999999998</v>
      </c>
      <c r="Z102" s="12">
        <v>931.71</v>
      </c>
      <c r="AA102" s="12">
        <v>1090.2280000000001</v>
      </c>
      <c r="AB102" s="12">
        <v>1105.5530000000001</v>
      </c>
      <c r="AC102" s="12">
        <v>816.04399999999998</v>
      </c>
      <c r="AD102" s="11">
        <f>+AC102</f>
        <v>816.04399999999998</v>
      </c>
      <c r="AE102" s="11">
        <f t="shared" ref="AE102:BA110" si="64">+AD102</f>
        <v>816.04399999999998</v>
      </c>
      <c r="AF102" s="11">
        <f t="shared" si="64"/>
        <v>816.04399999999998</v>
      </c>
      <c r="AG102" s="11">
        <f t="shared" si="64"/>
        <v>816.04399999999998</v>
      </c>
      <c r="AH102" s="11">
        <f t="shared" si="64"/>
        <v>816.04399999999998</v>
      </c>
      <c r="AI102" s="11">
        <f t="shared" si="64"/>
        <v>816.04399999999998</v>
      </c>
      <c r="AJ102" s="11">
        <f t="shared" si="64"/>
        <v>816.04399999999998</v>
      </c>
      <c r="AK102" s="11">
        <f t="shared" si="64"/>
        <v>816.04399999999998</v>
      </c>
      <c r="AL102" s="11">
        <f t="shared" si="64"/>
        <v>816.04399999999998</v>
      </c>
      <c r="AM102" s="11">
        <f t="shared" si="64"/>
        <v>816.04399999999998</v>
      </c>
      <c r="AN102" s="11">
        <f t="shared" si="64"/>
        <v>816.04399999999998</v>
      </c>
      <c r="AO102" s="11">
        <f t="shared" si="64"/>
        <v>816.04399999999998</v>
      </c>
      <c r="AP102" s="11">
        <f t="shared" si="64"/>
        <v>816.04399999999998</v>
      </c>
      <c r="AQ102" s="11">
        <f t="shared" si="64"/>
        <v>816.04399999999998</v>
      </c>
      <c r="AR102" s="11">
        <f t="shared" si="64"/>
        <v>816.04399999999998</v>
      </c>
      <c r="AS102" s="11">
        <f t="shared" si="64"/>
        <v>816.04399999999998</v>
      </c>
      <c r="AT102" s="11">
        <f t="shared" si="64"/>
        <v>816.04399999999998</v>
      </c>
      <c r="AU102" s="11">
        <f t="shared" si="64"/>
        <v>816.04399999999998</v>
      </c>
      <c r="AV102" s="11">
        <f t="shared" si="64"/>
        <v>816.04399999999998</v>
      </c>
      <c r="AW102" s="11">
        <f t="shared" si="64"/>
        <v>816.04399999999998</v>
      </c>
      <c r="AX102" s="11">
        <f t="shared" si="64"/>
        <v>816.04399999999998</v>
      </c>
      <c r="AY102" s="11">
        <f t="shared" si="64"/>
        <v>816.04399999999998</v>
      </c>
      <c r="AZ102" s="11">
        <f t="shared" si="64"/>
        <v>816.04399999999998</v>
      </c>
      <c r="BA102" s="11">
        <f t="shared" si="64"/>
        <v>816.04399999999998</v>
      </c>
      <c r="BB102" s="8" t="s">
        <v>75</v>
      </c>
    </row>
    <row r="103" spans="1:54" x14ac:dyDescent="0.2">
      <c r="B103" s="19" t="s">
        <v>99</v>
      </c>
      <c r="C103" s="45" t="s">
        <v>187</v>
      </c>
      <c r="D103" s="19"/>
      <c r="E103" s="11"/>
      <c r="F103" s="11">
        <f t="shared" si="62"/>
        <v>130.91900000000001</v>
      </c>
      <c r="G103" s="11">
        <f t="shared" si="62"/>
        <v>82.35</v>
      </c>
      <c r="H103" s="11">
        <f t="shared" si="62"/>
        <v>147.852</v>
      </c>
      <c r="I103" s="11">
        <f t="shared" ca="1" si="62"/>
        <v>116.96473272495005</v>
      </c>
      <c r="J103" s="11">
        <f t="shared" ca="1" si="62"/>
        <v>131.80242988229588</v>
      </c>
      <c r="K103" s="11">
        <f t="shared" ca="1" si="62"/>
        <v>142.08693653764027</v>
      </c>
      <c r="L103" s="11">
        <f t="shared" ca="1" si="62"/>
        <v>153.41624452933215</v>
      </c>
      <c r="M103" s="11">
        <f t="shared" ca="1" si="62"/>
        <v>165.90462319466073</v>
      </c>
      <c r="N103" s="11">
        <f t="shared" ca="1" si="62"/>
        <v>179.18940898600925</v>
      </c>
      <c r="O103" s="11"/>
      <c r="P103" s="11"/>
      <c r="R103" s="12">
        <v>72.674000000000007</v>
      </c>
      <c r="S103" s="12">
        <v>119.738</v>
      </c>
      <c r="T103" s="12">
        <v>111.773</v>
      </c>
      <c r="U103" s="12">
        <v>130.91900000000001</v>
      </c>
      <c r="V103" s="12">
        <v>141.378797104179</v>
      </c>
      <c r="W103" s="12">
        <v>123.015</v>
      </c>
      <c r="X103" s="12">
        <v>123.938</v>
      </c>
      <c r="Y103" s="12">
        <v>82.35</v>
      </c>
      <c r="Z103" s="12">
        <v>129.785</v>
      </c>
      <c r="AA103" s="12">
        <v>181.886</v>
      </c>
      <c r="AB103" s="12">
        <v>162.42839298332501</v>
      </c>
      <c r="AC103" s="12">
        <v>147.852</v>
      </c>
      <c r="AD103" s="11">
        <f t="shared" ref="AD103:BA103" ca="1" si="65">+AD$8/(AD$5-AD$4)*AD$171</f>
        <v>128.68264192156684</v>
      </c>
      <c r="AE103" s="11">
        <f t="shared" ca="1" si="65"/>
        <v>167.72456406275222</v>
      </c>
      <c r="AF103" s="11">
        <f t="shared" ca="1" si="65"/>
        <v>161.91159955152261</v>
      </c>
      <c r="AG103" s="11">
        <f t="shared" ca="1" si="65"/>
        <v>116.96473272495005</v>
      </c>
      <c r="AH103" s="11">
        <f t="shared" ca="1" si="65"/>
        <v>144.8650662670141</v>
      </c>
      <c r="AI103" s="11">
        <f t="shared" ca="1" si="65"/>
        <v>188.82116871344735</v>
      </c>
      <c r="AJ103" s="11">
        <f t="shared" ca="1" si="65"/>
        <v>182.30551211472439</v>
      </c>
      <c r="AK103" s="11">
        <f t="shared" ca="1" si="65"/>
        <v>131.80242988229588</v>
      </c>
      <c r="AL103" s="11">
        <f t="shared" ca="1" si="65"/>
        <v>156.44713954202723</v>
      </c>
      <c r="AM103" s="11">
        <f t="shared" ca="1" si="65"/>
        <v>205.8180715458013</v>
      </c>
      <c r="AN103" s="11">
        <f t="shared" ca="1" si="65"/>
        <v>198.67112300260504</v>
      </c>
      <c r="AO103" s="11">
        <f t="shared" ca="1" si="65"/>
        <v>142.08693653764027</v>
      </c>
      <c r="AP103" s="11">
        <f t="shared" ca="1" si="65"/>
        <v>167.33806307527411</v>
      </c>
      <c r="AQ103" s="11">
        <f t="shared" ca="1" si="65"/>
        <v>224.65379480258881</v>
      </c>
      <c r="AR103" s="11">
        <f t="shared" ca="1" si="65"/>
        <v>216.80997548146178</v>
      </c>
      <c r="AS103" s="11">
        <f t="shared" ca="1" si="65"/>
        <v>153.41624452933215</v>
      </c>
      <c r="AT103" s="11">
        <f t="shared" ca="1" si="65"/>
        <v>183.3089258767555</v>
      </c>
      <c r="AU103" s="11">
        <f t="shared" ca="1" si="65"/>
        <v>245.53396280719039</v>
      </c>
      <c r="AV103" s="11">
        <f t="shared" ca="1" si="65"/>
        <v>236.92071336275717</v>
      </c>
      <c r="AW103" s="11">
        <f t="shared" ca="1" si="65"/>
        <v>165.90462319466073</v>
      </c>
      <c r="AX103" s="11">
        <f t="shared" ca="1" si="65"/>
        <v>198.30317231665282</v>
      </c>
      <c r="AY103" s="11">
        <f t="shared" ca="1" si="65"/>
        <v>267.78690656142743</v>
      </c>
      <c r="AZ103" s="11">
        <f t="shared" ca="1" si="65"/>
        <v>258.35188382579804</v>
      </c>
      <c r="BA103" s="11">
        <f t="shared" ca="1" si="65"/>
        <v>179.18940898600925</v>
      </c>
      <c r="BB103" s="8" t="s">
        <v>75</v>
      </c>
    </row>
    <row r="104" spans="1:54" x14ac:dyDescent="0.2">
      <c r="B104" s="19" t="s">
        <v>100</v>
      </c>
      <c r="C104" s="45" t="s">
        <v>187</v>
      </c>
      <c r="D104" s="19"/>
      <c r="E104" s="11"/>
      <c r="F104" s="11">
        <f t="shared" si="62"/>
        <v>30.873000000000001</v>
      </c>
      <c r="G104" s="11">
        <f t="shared" si="62"/>
        <v>38.363999999999997</v>
      </c>
      <c r="H104" s="11">
        <f t="shared" si="62"/>
        <v>57.051000000000002</v>
      </c>
      <c r="I104" s="11">
        <f t="shared" si="62"/>
        <v>57.051000000000002</v>
      </c>
      <c r="J104" s="11">
        <f t="shared" si="62"/>
        <v>57.051000000000002</v>
      </c>
      <c r="K104" s="11">
        <f t="shared" si="62"/>
        <v>57.051000000000002</v>
      </c>
      <c r="L104" s="11">
        <f t="shared" si="62"/>
        <v>57.051000000000002</v>
      </c>
      <c r="M104" s="11">
        <f t="shared" si="62"/>
        <v>57.051000000000002</v>
      </c>
      <c r="N104" s="11">
        <f t="shared" si="62"/>
        <v>57.051000000000002</v>
      </c>
      <c r="O104" s="11"/>
      <c r="P104" s="11"/>
      <c r="R104" s="12">
        <v>9.7279999999999998</v>
      </c>
      <c r="S104" s="12">
        <v>28.69</v>
      </c>
      <c r="T104" s="12">
        <v>28.923999999999999</v>
      </c>
      <c r="U104" s="12">
        <v>30.873000000000001</v>
      </c>
      <c r="V104" s="12">
        <v>35.076768048955998</v>
      </c>
      <c r="W104" s="12">
        <v>33.273000000000003</v>
      </c>
      <c r="X104" s="12">
        <v>39.859000000000002</v>
      </c>
      <c r="Y104" s="12">
        <v>38.363999999999997</v>
      </c>
      <c r="Z104" s="12">
        <v>57.268999999999998</v>
      </c>
      <c r="AA104" s="12">
        <v>62.177999999999997</v>
      </c>
      <c r="AB104" s="12">
        <v>67.176000000000002</v>
      </c>
      <c r="AC104" s="12">
        <v>57.051000000000002</v>
      </c>
      <c r="AD104" s="11">
        <f t="shared" ref="AD104:AD110" si="66">+AC104</f>
        <v>57.051000000000002</v>
      </c>
      <c r="AE104" s="11">
        <f t="shared" si="64"/>
        <v>57.051000000000002</v>
      </c>
      <c r="AF104" s="11">
        <f t="shared" si="64"/>
        <v>57.051000000000002</v>
      </c>
      <c r="AG104" s="11">
        <f t="shared" si="64"/>
        <v>57.051000000000002</v>
      </c>
      <c r="AH104" s="11">
        <f t="shared" si="64"/>
        <v>57.051000000000002</v>
      </c>
      <c r="AI104" s="11">
        <f t="shared" si="64"/>
        <v>57.051000000000002</v>
      </c>
      <c r="AJ104" s="11">
        <f t="shared" si="64"/>
        <v>57.051000000000002</v>
      </c>
      <c r="AK104" s="11">
        <f t="shared" si="64"/>
        <v>57.051000000000002</v>
      </c>
      <c r="AL104" s="11">
        <f t="shared" si="64"/>
        <v>57.051000000000002</v>
      </c>
      <c r="AM104" s="11">
        <f t="shared" si="64"/>
        <v>57.051000000000002</v>
      </c>
      <c r="AN104" s="11">
        <f t="shared" si="64"/>
        <v>57.051000000000002</v>
      </c>
      <c r="AO104" s="11">
        <f t="shared" si="64"/>
        <v>57.051000000000002</v>
      </c>
      <c r="AP104" s="11">
        <f t="shared" si="64"/>
        <v>57.051000000000002</v>
      </c>
      <c r="AQ104" s="11">
        <f t="shared" si="64"/>
        <v>57.051000000000002</v>
      </c>
      <c r="AR104" s="11">
        <f t="shared" si="64"/>
        <v>57.051000000000002</v>
      </c>
      <c r="AS104" s="11">
        <f t="shared" si="64"/>
        <v>57.051000000000002</v>
      </c>
      <c r="AT104" s="11">
        <f t="shared" si="64"/>
        <v>57.051000000000002</v>
      </c>
      <c r="AU104" s="11">
        <f t="shared" si="64"/>
        <v>57.051000000000002</v>
      </c>
      <c r="AV104" s="11">
        <f t="shared" si="64"/>
        <v>57.051000000000002</v>
      </c>
      <c r="AW104" s="11">
        <f t="shared" si="64"/>
        <v>57.051000000000002</v>
      </c>
      <c r="AX104" s="11">
        <f t="shared" si="64"/>
        <v>57.051000000000002</v>
      </c>
      <c r="AY104" s="11">
        <f t="shared" si="64"/>
        <v>57.051000000000002</v>
      </c>
      <c r="AZ104" s="11">
        <f t="shared" si="64"/>
        <v>57.051000000000002</v>
      </c>
      <c r="BA104" s="11">
        <f t="shared" si="64"/>
        <v>57.051000000000002</v>
      </c>
      <c r="BB104" s="8" t="s">
        <v>75</v>
      </c>
    </row>
    <row r="105" spans="1:54" x14ac:dyDescent="0.2">
      <c r="B105" s="19" t="s">
        <v>101</v>
      </c>
      <c r="C105" s="45" t="s">
        <v>187</v>
      </c>
      <c r="D105" s="19"/>
      <c r="E105" s="11"/>
      <c r="F105" s="11">
        <f t="shared" si="62"/>
        <v>49.942999999999998</v>
      </c>
      <c r="G105" s="11">
        <f t="shared" si="62"/>
        <v>27.463000000000001</v>
      </c>
      <c r="H105" s="11">
        <f t="shared" si="62"/>
        <v>44.911999999999999</v>
      </c>
      <c r="I105" s="11">
        <f t="shared" si="62"/>
        <v>44.911999999999999</v>
      </c>
      <c r="J105" s="11">
        <f t="shared" si="62"/>
        <v>44.911999999999999</v>
      </c>
      <c r="K105" s="11">
        <f t="shared" si="62"/>
        <v>44.911999999999999</v>
      </c>
      <c r="L105" s="11">
        <f t="shared" si="62"/>
        <v>44.911999999999999</v>
      </c>
      <c r="M105" s="11">
        <f t="shared" si="62"/>
        <v>44.911999999999999</v>
      </c>
      <c r="N105" s="11">
        <f t="shared" si="62"/>
        <v>44.911999999999999</v>
      </c>
      <c r="O105" s="11"/>
      <c r="P105" s="11"/>
      <c r="R105" s="12">
        <v>29.550999999999998</v>
      </c>
      <c r="S105" s="12">
        <v>42.786000000000001</v>
      </c>
      <c r="T105" s="12">
        <v>67.403999999999996</v>
      </c>
      <c r="U105" s="12">
        <v>49.942999999999998</v>
      </c>
      <c r="V105" s="12">
        <v>51.752520055512996</v>
      </c>
      <c r="W105" s="12">
        <v>39.039000000000001</v>
      </c>
      <c r="X105" s="12">
        <v>36.795999999999999</v>
      </c>
      <c r="Y105" s="12">
        <v>27.463000000000001</v>
      </c>
      <c r="Z105" s="12">
        <v>49.264000000000003</v>
      </c>
      <c r="AA105" s="12">
        <v>43.314999999999998</v>
      </c>
      <c r="AB105" s="12">
        <v>39.442526609999987</v>
      </c>
      <c r="AC105" s="12">
        <v>44.911999999999999</v>
      </c>
      <c r="AD105" s="11">
        <f t="shared" si="66"/>
        <v>44.911999999999999</v>
      </c>
      <c r="AE105" s="11">
        <f t="shared" si="64"/>
        <v>44.911999999999999</v>
      </c>
      <c r="AF105" s="11">
        <f t="shared" si="64"/>
        <v>44.911999999999999</v>
      </c>
      <c r="AG105" s="11">
        <f t="shared" si="64"/>
        <v>44.911999999999999</v>
      </c>
      <c r="AH105" s="11">
        <f t="shared" si="64"/>
        <v>44.911999999999999</v>
      </c>
      <c r="AI105" s="11">
        <f t="shared" si="64"/>
        <v>44.911999999999999</v>
      </c>
      <c r="AJ105" s="11">
        <f t="shared" si="64"/>
        <v>44.911999999999999</v>
      </c>
      <c r="AK105" s="11">
        <f t="shared" si="64"/>
        <v>44.911999999999999</v>
      </c>
      <c r="AL105" s="11">
        <f t="shared" si="64"/>
        <v>44.911999999999999</v>
      </c>
      <c r="AM105" s="11">
        <f t="shared" si="64"/>
        <v>44.911999999999999</v>
      </c>
      <c r="AN105" s="11">
        <f t="shared" si="64"/>
        <v>44.911999999999999</v>
      </c>
      <c r="AO105" s="11">
        <f t="shared" si="64"/>
        <v>44.911999999999999</v>
      </c>
      <c r="AP105" s="11">
        <f t="shared" si="64"/>
        <v>44.911999999999999</v>
      </c>
      <c r="AQ105" s="11">
        <f t="shared" si="64"/>
        <v>44.911999999999999</v>
      </c>
      <c r="AR105" s="11">
        <f t="shared" si="64"/>
        <v>44.911999999999999</v>
      </c>
      <c r="AS105" s="11">
        <f t="shared" si="64"/>
        <v>44.911999999999999</v>
      </c>
      <c r="AT105" s="11">
        <f t="shared" si="64"/>
        <v>44.911999999999999</v>
      </c>
      <c r="AU105" s="11">
        <f t="shared" si="64"/>
        <v>44.911999999999999</v>
      </c>
      <c r="AV105" s="11">
        <f t="shared" si="64"/>
        <v>44.911999999999999</v>
      </c>
      <c r="AW105" s="11">
        <f t="shared" si="64"/>
        <v>44.911999999999999</v>
      </c>
      <c r="AX105" s="11">
        <f t="shared" si="64"/>
        <v>44.911999999999999</v>
      </c>
      <c r="AY105" s="11">
        <f t="shared" si="64"/>
        <v>44.911999999999999</v>
      </c>
      <c r="AZ105" s="11">
        <f t="shared" si="64"/>
        <v>44.911999999999999</v>
      </c>
      <c r="BA105" s="11">
        <f t="shared" si="64"/>
        <v>44.911999999999999</v>
      </c>
      <c r="BB105" s="8" t="s">
        <v>75</v>
      </c>
    </row>
    <row r="106" spans="1:54" x14ac:dyDescent="0.2">
      <c r="B106" s="19" t="s">
        <v>102</v>
      </c>
      <c r="C106" s="45" t="s">
        <v>187</v>
      </c>
      <c r="D106" s="19"/>
      <c r="E106" s="11"/>
      <c r="F106" s="11">
        <f t="shared" si="62"/>
        <v>61.756352910000004</v>
      </c>
      <c r="G106" s="11">
        <f t="shared" si="62"/>
        <v>28.116</v>
      </c>
      <c r="H106" s="11">
        <f t="shared" si="62"/>
        <v>42.985999999999997</v>
      </c>
      <c r="I106" s="11">
        <f t="shared" si="62"/>
        <v>42.985999999999997</v>
      </c>
      <c r="J106" s="11">
        <f t="shared" si="62"/>
        <v>42.985999999999997</v>
      </c>
      <c r="K106" s="11">
        <f t="shared" si="62"/>
        <v>42.985999999999997</v>
      </c>
      <c r="L106" s="11">
        <f t="shared" si="62"/>
        <v>42.985999999999997</v>
      </c>
      <c r="M106" s="11">
        <f t="shared" si="62"/>
        <v>42.985999999999997</v>
      </c>
      <c r="N106" s="11">
        <f t="shared" si="62"/>
        <v>42.985999999999997</v>
      </c>
      <c r="O106" s="11"/>
      <c r="P106" s="11"/>
      <c r="R106" s="12">
        <v>0</v>
      </c>
      <c r="S106" s="12">
        <v>0</v>
      </c>
      <c r="T106" s="12">
        <v>0</v>
      </c>
      <c r="U106" s="12">
        <v>61.756352910000004</v>
      </c>
      <c r="V106" s="12">
        <v>44.259775549999993</v>
      </c>
      <c r="W106" s="12">
        <v>44.063000000000002</v>
      </c>
      <c r="X106" s="12">
        <v>43.439</v>
      </c>
      <c r="Y106" s="12">
        <v>28.116</v>
      </c>
      <c r="Z106" s="12">
        <v>24.164999999999999</v>
      </c>
      <c r="AA106" s="12">
        <v>35.183</v>
      </c>
      <c r="AB106" s="12">
        <v>34.249943589999987</v>
      </c>
      <c r="AC106" s="12">
        <v>42.985999999999997</v>
      </c>
      <c r="AD106" s="11">
        <f t="shared" si="66"/>
        <v>42.985999999999997</v>
      </c>
      <c r="AE106" s="11">
        <f t="shared" si="64"/>
        <v>42.985999999999997</v>
      </c>
      <c r="AF106" s="11">
        <f t="shared" si="64"/>
        <v>42.985999999999997</v>
      </c>
      <c r="AG106" s="11">
        <f t="shared" si="64"/>
        <v>42.985999999999997</v>
      </c>
      <c r="AH106" s="11">
        <f t="shared" si="64"/>
        <v>42.985999999999997</v>
      </c>
      <c r="AI106" s="11">
        <f t="shared" si="64"/>
        <v>42.985999999999997</v>
      </c>
      <c r="AJ106" s="11">
        <f t="shared" si="64"/>
        <v>42.985999999999997</v>
      </c>
      <c r="AK106" s="11">
        <f t="shared" si="64"/>
        <v>42.985999999999997</v>
      </c>
      <c r="AL106" s="11">
        <f t="shared" si="64"/>
        <v>42.985999999999997</v>
      </c>
      <c r="AM106" s="11">
        <f t="shared" si="64"/>
        <v>42.985999999999997</v>
      </c>
      <c r="AN106" s="11">
        <f t="shared" si="64"/>
        <v>42.985999999999997</v>
      </c>
      <c r="AO106" s="11">
        <f t="shared" si="64"/>
        <v>42.985999999999997</v>
      </c>
      <c r="AP106" s="11">
        <f t="shared" si="64"/>
        <v>42.985999999999997</v>
      </c>
      <c r="AQ106" s="11">
        <f t="shared" si="64"/>
        <v>42.985999999999997</v>
      </c>
      <c r="AR106" s="11">
        <f t="shared" si="64"/>
        <v>42.985999999999997</v>
      </c>
      <c r="AS106" s="11">
        <f t="shared" si="64"/>
        <v>42.985999999999997</v>
      </c>
      <c r="AT106" s="11">
        <f t="shared" si="64"/>
        <v>42.985999999999997</v>
      </c>
      <c r="AU106" s="11">
        <f t="shared" si="64"/>
        <v>42.985999999999997</v>
      </c>
      <c r="AV106" s="11">
        <f t="shared" si="64"/>
        <v>42.985999999999997</v>
      </c>
      <c r="AW106" s="11">
        <f t="shared" si="64"/>
        <v>42.985999999999997</v>
      </c>
      <c r="AX106" s="11">
        <f t="shared" si="64"/>
        <v>42.985999999999997</v>
      </c>
      <c r="AY106" s="11">
        <f t="shared" si="64"/>
        <v>42.985999999999997</v>
      </c>
      <c r="AZ106" s="11">
        <f t="shared" si="64"/>
        <v>42.985999999999997</v>
      </c>
      <c r="BA106" s="11">
        <f t="shared" si="64"/>
        <v>42.985999999999997</v>
      </c>
      <c r="BB106" s="8" t="s">
        <v>75</v>
      </c>
    </row>
    <row r="107" spans="1:54" x14ac:dyDescent="0.2">
      <c r="B107" s="19" t="s">
        <v>55</v>
      </c>
      <c r="C107" s="45" t="s">
        <v>187</v>
      </c>
      <c r="D107" s="19"/>
      <c r="E107" s="11"/>
      <c r="F107" s="11">
        <f t="shared" si="62"/>
        <v>30.881</v>
      </c>
      <c r="G107" s="11">
        <f t="shared" si="62"/>
        <v>37.884</v>
      </c>
      <c r="H107" s="11">
        <f t="shared" si="62"/>
        <v>34.593000000000004</v>
      </c>
      <c r="I107" s="11">
        <f t="shared" si="62"/>
        <v>34.593000000000004</v>
      </c>
      <c r="J107" s="11">
        <f t="shared" si="62"/>
        <v>34.593000000000004</v>
      </c>
      <c r="K107" s="11">
        <f t="shared" si="62"/>
        <v>34.593000000000004</v>
      </c>
      <c r="L107" s="11">
        <f t="shared" si="62"/>
        <v>34.593000000000004</v>
      </c>
      <c r="M107" s="11">
        <f t="shared" si="62"/>
        <v>34.593000000000004</v>
      </c>
      <c r="N107" s="11">
        <f t="shared" si="62"/>
        <v>34.593000000000004</v>
      </c>
      <c r="O107" s="11"/>
      <c r="P107" s="11"/>
      <c r="R107" s="12">
        <v>33.219000000000001</v>
      </c>
      <c r="S107" s="12">
        <v>19.908000000000001</v>
      </c>
      <c r="T107" s="12">
        <v>17.760000000000002</v>
      </c>
      <c r="U107" s="12">
        <v>30.881</v>
      </c>
      <c r="V107" s="12">
        <v>51.104654957999998</v>
      </c>
      <c r="W107" s="12">
        <v>34.78</v>
      </c>
      <c r="X107" s="12">
        <v>68.56</v>
      </c>
      <c r="Y107" s="12">
        <v>37.884</v>
      </c>
      <c r="Z107" s="12">
        <v>39.398000000000003</v>
      </c>
      <c r="AA107" s="12">
        <v>25.957000000000001</v>
      </c>
      <c r="AB107" s="12">
        <v>35.732999999999997</v>
      </c>
      <c r="AC107" s="12">
        <v>34.593000000000004</v>
      </c>
      <c r="AD107" s="11">
        <f t="shared" si="66"/>
        <v>34.593000000000004</v>
      </c>
      <c r="AE107" s="11">
        <f t="shared" si="64"/>
        <v>34.593000000000004</v>
      </c>
      <c r="AF107" s="11">
        <f t="shared" si="64"/>
        <v>34.593000000000004</v>
      </c>
      <c r="AG107" s="11">
        <f t="shared" si="64"/>
        <v>34.593000000000004</v>
      </c>
      <c r="AH107" s="11">
        <f t="shared" si="64"/>
        <v>34.593000000000004</v>
      </c>
      <c r="AI107" s="11">
        <f t="shared" si="64"/>
        <v>34.593000000000004</v>
      </c>
      <c r="AJ107" s="11">
        <f t="shared" si="64"/>
        <v>34.593000000000004</v>
      </c>
      <c r="AK107" s="11">
        <f t="shared" si="64"/>
        <v>34.593000000000004</v>
      </c>
      <c r="AL107" s="11">
        <f t="shared" si="64"/>
        <v>34.593000000000004</v>
      </c>
      <c r="AM107" s="11">
        <f t="shared" si="64"/>
        <v>34.593000000000004</v>
      </c>
      <c r="AN107" s="11">
        <f t="shared" si="64"/>
        <v>34.593000000000004</v>
      </c>
      <c r="AO107" s="11">
        <f t="shared" si="64"/>
        <v>34.593000000000004</v>
      </c>
      <c r="AP107" s="11">
        <f t="shared" si="64"/>
        <v>34.593000000000004</v>
      </c>
      <c r="AQ107" s="11">
        <f t="shared" si="64"/>
        <v>34.593000000000004</v>
      </c>
      <c r="AR107" s="11">
        <f t="shared" si="64"/>
        <v>34.593000000000004</v>
      </c>
      <c r="AS107" s="11">
        <f t="shared" si="64"/>
        <v>34.593000000000004</v>
      </c>
      <c r="AT107" s="11">
        <f t="shared" si="64"/>
        <v>34.593000000000004</v>
      </c>
      <c r="AU107" s="11">
        <f t="shared" si="64"/>
        <v>34.593000000000004</v>
      </c>
      <c r="AV107" s="11">
        <f t="shared" si="64"/>
        <v>34.593000000000004</v>
      </c>
      <c r="AW107" s="11">
        <f t="shared" si="64"/>
        <v>34.593000000000004</v>
      </c>
      <c r="AX107" s="11">
        <f t="shared" si="64"/>
        <v>34.593000000000004</v>
      </c>
      <c r="AY107" s="11">
        <f t="shared" si="64"/>
        <v>34.593000000000004</v>
      </c>
      <c r="AZ107" s="11">
        <f t="shared" si="64"/>
        <v>34.593000000000004</v>
      </c>
      <c r="BA107" s="11">
        <f t="shared" si="64"/>
        <v>34.593000000000004</v>
      </c>
      <c r="BB107" s="8" t="s">
        <v>75</v>
      </c>
    </row>
    <row r="108" spans="1:54" x14ac:dyDescent="0.2">
      <c r="B108" s="19" t="s">
        <v>56</v>
      </c>
      <c r="C108" s="45" t="s">
        <v>187</v>
      </c>
      <c r="D108" s="19"/>
      <c r="E108" s="11"/>
      <c r="F108" s="11">
        <f t="shared" si="62"/>
        <v>7.2770000000000001</v>
      </c>
      <c r="G108" s="11">
        <f t="shared" si="62"/>
        <v>47.499000000000002</v>
      </c>
      <c r="H108" s="11">
        <f t="shared" si="62"/>
        <v>32.149000000000001</v>
      </c>
      <c r="I108" s="11">
        <f t="shared" si="62"/>
        <v>32.149000000000001</v>
      </c>
      <c r="J108" s="11">
        <f t="shared" si="62"/>
        <v>32.149000000000001</v>
      </c>
      <c r="K108" s="11">
        <f t="shared" si="62"/>
        <v>32.149000000000001</v>
      </c>
      <c r="L108" s="11">
        <f t="shared" si="62"/>
        <v>32.149000000000001</v>
      </c>
      <c r="M108" s="11">
        <f t="shared" si="62"/>
        <v>32.149000000000001</v>
      </c>
      <c r="N108" s="11">
        <f t="shared" si="62"/>
        <v>32.149000000000001</v>
      </c>
      <c r="O108" s="11"/>
      <c r="P108" s="11"/>
      <c r="R108" s="12">
        <v>11.506</v>
      </c>
      <c r="S108" s="12">
        <v>14.212999999999999</v>
      </c>
      <c r="T108" s="12">
        <v>13.095000000000001</v>
      </c>
      <c r="U108" s="12">
        <v>7.2770000000000001</v>
      </c>
      <c r="V108" s="12">
        <v>18.272712303035</v>
      </c>
      <c r="W108" s="12">
        <v>16.75</v>
      </c>
      <c r="X108" s="12">
        <v>14.249000000000001</v>
      </c>
      <c r="Y108" s="12">
        <v>47.499000000000002</v>
      </c>
      <c r="Z108" s="12">
        <v>37.683</v>
      </c>
      <c r="AA108" s="12">
        <v>37.938000000000002</v>
      </c>
      <c r="AB108" s="12">
        <v>31.071999999999999</v>
      </c>
      <c r="AC108" s="12">
        <v>32.149000000000001</v>
      </c>
      <c r="AD108" s="11">
        <f t="shared" si="66"/>
        <v>32.149000000000001</v>
      </c>
      <c r="AE108" s="11">
        <f t="shared" si="64"/>
        <v>32.149000000000001</v>
      </c>
      <c r="AF108" s="11">
        <f t="shared" si="64"/>
        <v>32.149000000000001</v>
      </c>
      <c r="AG108" s="11">
        <f t="shared" si="64"/>
        <v>32.149000000000001</v>
      </c>
      <c r="AH108" s="11">
        <f t="shared" si="64"/>
        <v>32.149000000000001</v>
      </c>
      <c r="AI108" s="11">
        <f t="shared" si="64"/>
        <v>32.149000000000001</v>
      </c>
      <c r="AJ108" s="11">
        <f t="shared" si="64"/>
        <v>32.149000000000001</v>
      </c>
      <c r="AK108" s="11">
        <f t="shared" si="64"/>
        <v>32.149000000000001</v>
      </c>
      <c r="AL108" s="11">
        <f t="shared" si="64"/>
        <v>32.149000000000001</v>
      </c>
      <c r="AM108" s="11">
        <f t="shared" si="64"/>
        <v>32.149000000000001</v>
      </c>
      <c r="AN108" s="11">
        <f t="shared" si="64"/>
        <v>32.149000000000001</v>
      </c>
      <c r="AO108" s="11">
        <f t="shared" si="64"/>
        <v>32.149000000000001</v>
      </c>
      <c r="AP108" s="11">
        <f t="shared" si="64"/>
        <v>32.149000000000001</v>
      </c>
      <c r="AQ108" s="11">
        <f t="shared" si="64"/>
        <v>32.149000000000001</v>
      </c>
      <c r="AR108" s="11">
        <f t="shared" si="64"/>
        <v>32.149000000000001</v>
      </c>
      <c r="AS108" s="11">
        <f t="shared" si="64"/>
        <v>32.149000000000001</v>
      </c>
      <c r="AT108" s="11">
        <f t="shared" si="64"/>
        <v>32.149000000000001</v>
      </c>
      <c r="AU108" s="11">
        <f t="shared" si="64"/>
        <v>32.149000000000001</v>
      </c>
      <c r="AV108" s="11">
        <f t="shared" si="64"/>
        <v>32.149000000000001</v>
      </c>
      <c r="AW108" s="11">
        <f t="shared" si="64"/>
        <v>32.149000000000001</v>
      </c>
      <c r="AX108" s="11">
        <f t="shared" si="64"/>
        <v>32.149000000000001</v>
      </c>
      <c r="AY108" s="11">
        <f t="shared" si="64"/>
        <v>32.149000000000001</v>
      </c>
      <c r="AZ108" s="11">
        <f t="shared" si="64"/>
        <v>32.149000000000001</v>
      </c>
      <c r="BA108" s="11">
        <f t="shared" si="64"/>
        <v>32.149000000000001</v>
      </c>
      <c r="BB108" s="8" t="s">
        <v>75</v>
      </c>
    </row>
    <row r="109" spans="1:54" x14ac:dyDescent="0.2">
      <c r="B109" s="19" t="s">
        <v>105</v>
      </c>
      <c r="C109" s="45" t="s">
        <v>187</v>
      </c>
      <c r="D109" s="19"/>
      <c r="E109" s="11"/>
      <c r="F109" s="11">
        <f t="shared" si="62"/>
        <v>0</v>
      </c>
      <c r="G109" s="11">
        <f t="shared" si="62"/>
        <v>0</v>
      </c>
      <c r="H109" s="11">
        <f t="shared" si="62"/>
        <v>0</v>
      </c>
      <c r="I109" s="11">
        <f t="shared" si="62"/>
        <v>0</v>
      </c>
      <c r="J109" s="11">
        <f t="shared" si="62"/>
        <v>0</v>
      </c>
      <c r="K109" s="11">
        <f t="shared" si="62"/>
        <v>0</v>
      </c>
      <c r="L109" s="11">
        <f t="shared" si="62"/>
        <v>0</v>
      </c>
      <c r="M109" s="11">
        <f t="shared" si="62"/>
        <v>0</v>
      </c>
      <c r="N109" s="11">
        <f t="shared" si="62"/>
        <v>0</v>
      </c>
      <c r="O109" s="11"/>
      <c r="P109" s="11"/>
      <c r="R109" s="12">
        <v>5.1710000000000003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1">
        <f t="shared" si="66"/>
        <v>0</v>
      </c>
      <c r="AE109" s="11">
        <f t="shared" si="64"/>
        <v>0</v>
      </c>
      <c r="AF109" s="11">
        <f t="shared" si="64"/>
        <v>0</v>
      </c>
      <c r="AG109" s="11">
        <f t="shared" si="64"/>
        <v>0</v>
      </c>
      <c r="AH109" s="11">
        <f t="shared" si="64"/>
        <v>0</v>
      </c>
      <c r="AI109" s="11">
        <f t="shared" si="64"/>
        <v>0</v>
      </c>
      <c r="AJ109" s="11">
        <f t="shared" si="64"/>
        <v>0</v>
      </c>
      <c r="AK109" s="11">
        <f t="shared" si="64"/>
        <v>0</v>
      </c>
      <c r="AL109" s="11">
        <f t="shared" si="64"/>
        <v>0</v>
      </c>
      <c r="AM109" s="11">
        <f t="shared" si="64"/>
        <v>0</v>
      </c>
      <c r="AN109" s="11">
        <f t="shared" si="64"/>
        <v>0</v>
      </c>
      <c r="AO109" s="11">
        <f t="shared" si="64"/>
        <v>0</v>
      </c>
      <c r="AP109" s="11">
        <f t="shared" si="64"/>
        <v>0</v>
      </c>
      <c r="AQ109" s="11">
        <f t="shared" si="64"/>
        <v>0</v>
      </c>
      <c r="AR109" s="11">
        <f t="shared" si="64"/>
        <v>0</v>
      </c>
      <c r="AS109" s="11">
        <f t="shared" si="64"/>
        <v>0</v>
      </c>
      <c r="AT109" s="11">
        <f t="shared" si="64"/>
        <v>0</v>
      </c>
      <c r="AU109" s="11">
        <f t="shared" si="64"/>
        <v>0</v>
      </c>
      <c r="AV109" s="11">
        <f t="shared" si="64"/>
        <v>0</v>
      </c>
      <c r="AW109" s="11">
        <f t="shared" si="64"/>
        <v>0</v>
      </c>
      <c r="AX109" s="11">
        <f t="shared" si="64"/>
        <v>0</v>
      </c>
      <c r="AY109" s="11">
        <f t="shared" si="64"/>
        <v>0</v>
      </c>
      <c r="AZ109" s="11">
        <f t="shared" si="64"/>
        <v>0</v>
      </c>
      <c r="BA109" s="11">
        <f t="shared" si="64"/>
        <v>0</v>
      </c>
      <c r="BB109" s="8" t="s">
        <v>75</v>
      </c>
    </row>
    <row r="110" spans="1:54" x14ac:dyDescent="0.2">
      <c r="B110" s="19" t="s">
        <v>104</v>
      </c>
      <c r="C110" s="45" t="s">
        <v>187</v>
      </c>
      <c r="D110" s="19"/>
      <c r="E110" s="11"/>
      <c r="F110" s="11">
        <f t="shared" si="62"/>
        <v>19.547999999999998</v>
      </c>
      <c r="G110" s="11">
        <f t="shared" si="62"/>
        <v>25.58</v>
      </c>
      <c r="H110" s="11">
        <f t="shared" si="62"/>
        <v>37.076000000000001</v>
      </c>
      <c r="I110" s="11">
        <f t="shared" si="62"/>
        <v>37.076000000000001</v>
      </c>
      <c r="J110" s="11">
        <f t="shared" si="62"/>
        <v>37.076000000000001</v>
      </c>
      <c r="K110" s="11">
        <f t="shared" si="62"/>
        <v>37.076000000000001</v>
      </c>
      <c r="L110" s="11">
        <f t="shared" si="62"/>
        <v>37.076000000000001</v>
      </c>
      <c r="M110" s="11">
        <f t="shared" si="62"/>
        <v>37.076000000000001</v>
      </c>
      <c r="N110" s="11">
        <f t="shared" si="62"/>
        <v>37.076000000000001</v>
      </c>
      <c r="O110" s="11"/>
      <c r="P110" s="11"/>
      <c r="R110" s="12">
        <v>5.99</v>
      </c>
      <c r="S110" s="12">
        <v>5.6660000000000004</v>
      </c>
      <c r="T110" s="12">
        <v>6.0739999999999998</v>
      </c>
      <c r="U110" s="12">
        <v>19.547999999999998</v>
      </c>
      <c r="V110" s="12">
        <v>20.228860083665001</v>
      </c>
      <c r="W110" s="12">
        <v>35.173999999999999</v>
      </c>
      <c r="X110" s="12">
        <v>43.536000000000001</v>
      </c>
      <c r="Y110" s="12">
        <v>25.58</v>
      </c>
      <c r="Z110" s="12">
        <v>28.324000000000002</v>
      </c>
      <c r="AA110" s="12">
        <v>25.573</v>
      </c>
      <c r="AB110" s="12">
        <v>25.257999999999999</v>
      </c>
      <c r="AC110" s="12">
        <v>37.076000000000001</v>
      </c>
      <c r="AD110" s="11">
        <f t="shared" si="66"/>
        <v>37.076000000000001</v>
      </c>
      <c r="AE110" s="11">
        <f t="shared" si="64"/>
        <v>37.076000000000001</v>
      </c>
      <c r="AF110" s="11">
        <f t="shared" si="64"/>
        <v>37.076000000000001</v>
      </c>
      <c r="AG110" s="11">
        <f t="shared" si="64"/>
        <v>37.076000000000001</v>
      </c>
      <c r="AH110" s="11">
        <f t="shared" si="64"/>
        <v>37.076000000000001</v>
      </c>
      <c r="AI110" s="11">
        <f t="shared" si="64"/>
        <v>37.076000000000001</v>
      </c>
      <c r="AJ110" s="11">
        <f t="shared" si="64"/>
        <v>37.076000000000001</v>
      </c>
      <c r="AK110" s="11">
        <f t="shared" si="64"/>
        <v>37.076000000000001</v>
      </c>
      <c r="AL110" s="11">
        <f t="shared" si="64"/>
        <v>37.076000000000001</v>
      </c>
      <c r="AM110" s="11">
        <f t="shared" si="64"/>
        <v>37.076000000000001</v>
      </c>
      <c r="AN110" s="11">
        <f t="shared" si="64"/>
        <v>37.076000000000001</v>
      </c>
      <c r="AO110" s="11">
        <f t="shared" si="64"/>
        <v>37.076000000000001</v>
      </c>
      <c r="AP110" s="11">
        <f t="shared" si="64"/>
        <v>37.076000000000001</v>
      </c>
      <c r="AQ110" s="11">
        <f t="shared" si="64"/>
        <v>37.076000000000001</v>
      </c>
      <c r="AR110" s="11">
        <f t="shared" si="64"/>
        <v>37.076000000000001</v>
      </c>
      <c r="AS110" s="11">
        <f t="shared" si="64"/>
        <v>37.076000000000001</v>
      </c>
      <c r="AT110" s="11">
        <f t="shared" si="64"/>
        <v>37.076000000000001</v>
      </c>
      <c r="AU110" s="11">
        <f t="shared" si="64"/>
        <v>37.076000000000001</v>
      </c>
      <c r="AV110" s="11">
        <f t="shared" si="64"/>
        <v>37.076000000000001</v>
      </c>
      <c r="AW110" s="11">
        <f t="shared" si="64"/>
        <v>37.076000000000001</v>
      </c>
      <c r="AX110" s="11">
        <f t="shared" si="64"/>
        <v>37.076000000000001</v>
      </c>
      <c r="AY110" s="11">
        <f t="shared" si="64"/>
        <v>37.076000000000001</v>
      </c>
      <c r="AZ110" s="11">
        <f t="shared" si="64"/>
        <v>37.076000000000001</v>
      </c>
      <c r="BA110" s="11">
        <f t="shared" si="64"/>
        <v>37.076000000000001</v>
      </c>
      <c r="BB110" s="8" t="s">
        <v>75</v>
      </c>
    </row>
    <row r="111" spans="1:54" s="2" customFormat="1" x14ac:dyDescent="0.2">
      <c r="B111" s="2" t="s">
        <v>88</v>
      </c>
      <c r="C111" s="45" t="s">
        <v>187</v>
      </c>
      <c r="E111" s="11"/>
      <c r="F111" s="13">
        <f t="shared" si="62"/>
        <v>1419.9003529100003</v>
      </c>
      <c r="G111" s="13">
        <f t="shared" si="62"/>
        <v>1246.3939999999998</v>
      </c>
      <c r="H111" s="13">
        <f t="shared" si="62"/>
        <v>1427.5110000000004</v>
      </c>
      <c r="I111" s="13">
        <f t="shared" ca="1" si="62"/>
        <v>1379.7521476554425</v>
      </c>
      <c r="J111" s="13">
        <f t="shared" ca="1" si="62"/>
        <v>1428.581904142849</v>
      </c>
      <c r="K111" s="13">
        <f t="shared" ca="1" si="62"/>
        <v>1534.6918145644695</v>
      </c>
      <c r="L111" s="13">
        <f t="shared" ca="1" si="62"/>
        <v>1577.4469363913659</v>
      </c>
      <c r="M111" s="13">
        <f t="shared" ca="1" si="62"/>
        <v>1588.9159512465731</v>
      </c>
      <c r="N111" s="13">
        <f t="shared" ca="1" si="62"/>
        <v>1612.4979619804685</v>
      </c>
      <c r="O111" s="13"/>
      <c r="P111" s="13"/>
      <c r="R111" s="13">
        <f t="shared" ref="R111:AD111" si="67">+SUM(R101:R110)</f>
        <v>833.70699999999999</v>
      </c>
      <c r="S111" s="13">
        <f t="shared" si="67"/>
        <v>1209.163</v>
      </c>
      <c r="T111" s="13">
        <f t="shared" si="67"/>
        <v>1227.0650000000001</v>
      </c>
      <c r="U111" s="13">
        <f t="shared" si="67"/>
        <v>1419.9003529100003</v>
      </c>
      <c r="V111" s="13">
        <f t="shared" si="67"/>
        <v>1353.078495280319</v>
      </c>
      <c r="W111" s="13">
        <f t="shared" si="67"/>
        <v>1214.1949999999999</v>
      </c>
      <c r="X111" s="13">
        <f t="shared" si="67"/>
        <v>1339.7570000000001</v>
      </c>
      <c r="Y111" s="13">
        <f t="shared" si="67"/>
        <v>1246.3939999999998</v>
      </c>
      <c r="Z111" s="13">
        <f t="shared" si="67"/>
        <v>1447.2239999999999</v>
      </c>
      <c r="AA111" s="13">
        <f t="shared" si="67"/>
        <v>1524.1730000000002</v>
      </c>
      <c r="AB111" s="13">
        <f t="shared" si="67"/>
        <v>1542.1878631833249</v>
      </c>
      <c r="AC111" s="13">
        <f t="shared" si="67"/>
        <v>1427.5110000000004</v>
      </c>
      <c r="AD111" s="13">
        <f t="shared" ca="1" si="67"/>
        <v>1347.3327519022264</v>
      </c>
      <c r="AE111" s="13">
        <f t="shared" ref="AE111:BA111" ca="1" si="68">+SUM(AE101:AE110)</f>
        <v>1352.3829568307324</v>
      </c>
      <c r="AF111" s="13">
        <f t="shared" ca="1" si="68"/>
        <v>1409.4714793056023</v>
      </c>
      <c r="AG111" s="13">
        <f t="shared" ca="1" si="68"/>
        <v>1379.7521476554425</v>
      </c>
      <c r="AH111" s="13">
        <f t="shared" ca="1" si="68"/>
        <v>1412.3644350473642</v>
      </c>
      <c r="AI111" s="13">
        <f t="shared" ca="1" si="68"/>
        <v>1525.9452133141967</v>
      </c>
      <c r="AJ111" s="13">
        <f t="shared" ca="1" si="68"/>
        <v>1541.60805433818</v>
      </c>
      <c r="AK111" s="13">
        <f t="shared" ca="1" si="68"/>
        <v>1428.581904142849</v>
      </c>
      <c r="AL111" s="13">
        <f t="shared" ca="1" si="68"/>
        <v>1451.312652714304</v>
      </c>
      <c r="AM111" s="13">
        <f t="shared" ca="1" si="68"/>
        <v>1571.3475804689056</v>
      </c>
      <c r="AN111" s="13">
        <f t="shared" ca="1" si="68"/>
        <v>1624.2681030656313</v>
      </c>
      <c r="AO111" s="13">
        <f t="shared" ca="1" si="68"/>
        <v>1534.6918145644695</v>
      </c>
      <c r="AP111" s="13">
        <f t="shared" ca="1" si="68"/>
        <v>1536.1600106454007</v>
      </c>
      <c r="AQ111" s="13">
        <f t="shared" ca="1" si="68"/>
        <v>1651.3174440123012</v>
      </c>
      <c r="AR111" s="13">
        <f t="shared" ca="1" si="68"/>
        <v>1693.3874091098819</v>
      </c>
      <c r="AS111" s="13">
        <f t="shared" ca="1" si="68"/>
        <v>1577.4469363913659</v>
      </c>
      <c r="AT111" s="13">
        <f t="shared" ca="1" si="68"/>
        <v>1558.4190149146948</v>
      </c>
      <c r="AU111" s="13">
        <f t="shared" ca="1" si="68"/>
        <v>1666.1154155565832</v>
      </c>
      <c r="AV111" s="13">
        <f t="shared" ca="1" si="68"/>
        <v>1715.440934671929</v>
      </c>
      <c r="AW111" s="13">
        <f t="shared" ca="1" si="68"/>
        <v>1588.9159512465731</v>
      </c>
      <c r="AX111" s="13">
        <f t="shared" ca="1" si="68"/>
        <v>1568.1563701366167</v>
      </c>
      <c r="AY111" s="13">
        <f t="shared" ca="1" si="68"/>
        <v>1690.3513001945325</v>
      </c>
      <c r="AZ111" s="13">
        <f t="shared" ca="1" si="68"/>
        <v>1748.8529460800059</v>
      </c>
      <c r="BA111" s="13">
        <f t="shared" ca="1" si="68"/>
        <v>1612.4979619804685</v>
      </c>
      <c r="BB111" s="83" t="s">
        <v>75</v>
      </c>
    </row>
    <row r="112" spans="1:54" x14ac:dyDescent="0.2">
      <c r="E112" s="11"/>
      <c r="BB112" s="8" t="s">
        <v>75</v>
      </c>
    </row>
    <row r="113" spans="2:54" x14ac:dyDescent="0.2">
      <c r="B113" s="19" t="s">
        <v>106</v>
      </c>
      <c r="C113" s="45" t="s">
        <v>187</v>
      </c>
      <c r="D113" s="19"/>
      <c r="E113" s="11"/>
      <c r="F113" s="11">
        <f t="shared" ref="F113:N122" si="69">+SUMIFS(113:113,$3:$3,"4Q"&amp;RIGHT(F$3,2))</f>
        <v>13.836</v>
      </c>
      <c r="G113" s="11">
        <f t="shared" si="69"/>
        <v>15.382999999999999</v>
      </c>
      <c r="H113" s="11">
        <f t="shared" si="69"/>
        <v>14.952</v>
      </c>
      <c r="I113" s="11">
        <f t="shared" si="69"/>
        <v>14.952</v>
      </c>
      <c r="J113" s="11">
        <f t="shared" si="69"/>
        <v>14.952</v>
      </c>
      <c r="K113" s="11">
        <f t="shared" si="69"/>
        <v>14.952</v>
      </c>
      <c r="L113" s="11">
        <f t="shared" si="69"/>
        <v>14.952</v>
      </c>
      <c r="M113" s="11">
        <f t="shared" si="69"/>
        <v>14.952</v>
      </c>
      <c r="N113" s="11">
        <f t="shared" si="69"/>
        <v>14.952</v>
      </c>
      <c r="O113" s="11"/>
      <c r="P113" s="11"/>
      <c r="R113" s="12">
        <v>3.3159999999999998</v>
      </c>
      <c r="S113" s="12">
        <v>7.8789999999999996</v>
      </c>
      <c r="T113" s="12">
        <v>13.747</v>
      </c>
      <c r="U113" s="12">
        <v>13.836</v>
      </c>
      <c r="V113" s="12">
        <v>13.86204633</v>
      </c>
      <c r="W113" s="12">
        <v>9.2729999999999997</v>
      </c>
      <c r="X113" s="12">
        <v>9.4090000000000007</v>
      </c>
      <c r="Y113" s="12">
        <v>15.382999999999999</v>
      </c>
      <c r="Z113" s="12">
        <v>13.106999999999999</v>
      </c>
      <c r="AA113" s="12">
        <v>19.986999999999998</v>
      </c>
      <c r="AB113" s="12">
        <v>20.038</v>
      </c>
      <c r="AC113" s="12">
        <v>14.952</v>
      </c>
      <c r="AD113" s="11">
        <f t="shared" ref="AD113:AS113" si="70">+AC113</f>
        <v>14.952</v>
      </c>
      <c r="AE113" s="11">
        <f t="shared" si="70"/>
        <v>14.952</v>
      </c>
      <c r="AF113" s="11">
        <f t="shared" si="70"/>
        <v>14.952</v>
      </c>
      <c r="AG113" s="11">
        <f t="shared" si="70"/>
        <v>14.952</v>
      </c>
      <c r="AH113" s="11">
        <f t="shared" si="70"/>
        <v>14.952</v>
      </c>
      <c r="AI113" s="11">
        <f t="shared" si="70"/>
        <v>14.952</v>
      </c>
      <c r="AJ113" s="11">
        <f t="shared" si="70"/>
        <v>14.952</v>
      </c>
      <c r="AK113" s="11">
        <f t="shared" si="70"/>
        <v>14.952</v>
      </c>
      <c r="AL113" s="11">
        <f t="shared" si="70"/>
        <v>14.952</v>
      </c>
      <c r="AM113" s="11">
        <f t="shared" si="70"/>
        <v>14.952</v>
      </c>
      <c r="AN113" s="11">
        <f t="shared" si="70"/>
        <v>14.952</v>
      </c>
      <c r="AO113" s="11">
        <f t="shared" si="70"/>
        <v>14.952</v>
      </c>
      <c r="AP113" s="11">
        <f t="shared" si="70"/>
        <v>14.952</v>
      </c>
      <c r="AQ113" s="11">
        <f t="shared" si="70"/>
        <v>14.952</v>
      </c>
      <c r="AR113" s="11">
        <f t="shared" si="70"/>
        <v>14.952</v>
      </c>
      <c r="AS113" s="11">
        <f t="shared" si="70"/>
        <v>14.952</v>
      </c>
      <c r="AT113" s="11">
        <f t="shared" ref="AE113:BA124" si="71">+AS113</f>
        <v>14.952</v>
      </c>
      <c r="AU113" s="11">
        <f t="shared" si="71"/>
        <v>14.952</v>
      </c>
      <c r="AV113" s="11">
        <f t="shared" si="71"/>
        <v>14.952</v>
      </c>
      <c r="AW113" s="11">
        <f t="shared" si="71"/>
        <v>14.952</v>
      </c>
      <c r="AX113" s="11">
        <f t="shared" si="71"/>
        <v>14.952</v>
      </c>
      <c r="AY113" s="11">
        <f t="shared" si="71"/>
        <v>14.952</v>
      </c>
      <c r="AZ113" s="11">
        <f t="shared" si="71"/>
        <v>14.952</v>
      </c>
      <c r="BA113" s="11">
        <f t="shared" si="71"/>
        <v>14.952</v>
      </c>
      <c r="BB113" s="8" t="s">
        <v>75</v>
      </c>
    </row>
    <row r="114" spans="2:54" x14ac:dyDescent="0.2">
      <c r="B114" s="19" t="s">
        <v>103</v>
      </c>
      <c r="C114" s="45" t="s">
        <v>187</v>
      </c>
      <c r="D114" s="19"/>
      <c r="E114" s="11"/>
      <c r="F114" s="11">
        <f t="shared" si="69"/>
        <v>0</v>
      </c>
      <c r="G114" s="11">
        <f t="shared" si="69"/>
        <v>0</v>
      </c>
      <c r="H114" s="11">
        <f t="shared" si="69"/>
        <v>3.82</v>
      </c>
      <c r="I114" s="11">
        <f t="shared" si="69"/>
        <v>3.82</v>
      </c>
      <c r="J114" s="11">
        <f t="shared" si="69"/>
        <v>3.82</v>
      </c>
      <c r="K114" s="11">
        <f t="shared" si="69"/>
        <v>3.82</v>
      </c>
      <c r="L114" s="11">
        <f t="shared" si="69"/>
        <v>3.82</v>
      </c>
      <c r="M114" s="11">
        <f t="shared" si="69"/>
        <v>3.82</v>
      </c>
      <c r="N114" s="11">
        <f t="shared" si="69"/>
        <v>3.82</v>
      </c>
      <c r="O114" s="11"/>
      <c r="P114" s="11"/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4.1449999999999996</v>
      </c>
      <c r="AC114" s="12">
        <v>3.82</v>
      </c>
      <c r="AD114" s="11">
        <f t="shared" ref="AD114:AD124" si="72">+AC114</f>
        <v>3.82</v>
      </c>
      <c r="AE114" s="11">
        <f t="shared" si="71"/>
        <v>3.82</v>
      </c>
      <c r="AF114" s="11">
        <f t="shared" si="71"/>
        <v>3.82</v>
      </c>
      <c r="AG114" s="11">
        <f t="shared" si="71"/>
        <v>3.82</v>
      </c>
      <c r="AH114" s="11">
        <f t="shared" si="71"/>
        <v>3.82</v>
      </c>
      <c r="AI114" s="11">
        <f t="shared" si="71"/>
        <v>3.82</v>
      </c>
      <c r="AJ114" s="11">
        <f t="shared" si="71"/>
        <v>3.82</v>
      </c>
      <c r="AK114" s="11">
        <f t="shared" si="71"/>
        <v>3.82</v>
      </c>
      <c r="AL114" s="11">
        <f t="shared" si="71"/>
        <v>3.82</v>
      </c>
      <c r="AM114" s="11">
        <f t="shared" si="71"/>
        <v>3.82</v>
      </c>
      <c r="AN114" s="11">
        <f t="shared" si="71"/>
        <v>3.82</v>
      </c>
      <c r="AO114" s="11">
        <f t="shared" si="71"/>
        <v>3.82</v>
      </c>
      <c r="AP114" s="11">
        <f t="shared" si="71"/>
        <v>3.82</v>
      </c>
      <c r="AQ114" s="11">
        <f t="shared" si="71"/>
        <v>3.82</v>
      </c>
      <c r="AR114" s="11">
        <f t="shared" si="71"/>
        <v>3.82</v>
      </c>
      <c r="AS114" s="11">
        <f t="shared" si="71"/>
        <v>3.82</v>
      </c>
      <c r="AT114" s="11">
        <f t="shared" si="71"/>
        <v>3.82</v>
      </c>
      <c r="AU114" s="11">
        <f t="shared" si="71"/>
        <v>3.82</v>
      </c>
      <c r="AV114" s="11">
        <f t="shared" si="71"/>
        <v>3.82</v>
      </c>
      <c r="AW114" s="11">
        <f t="shared" si="71"/>
        <v>3.82</v>
      </c>
      <c r="AX114" s="11">
        <f t="shared" si="71"/>
        <v>3.82</v>
      </c>
      <c r="AY114" s="11">
        <f t="shared" si="71"/>
        <v>3.82</v>
      </c>
      <c r="AZ114" s="11">
        <f t="shared" si="71"/>
        <v>3.82</v>
      </c>
      <c r="BA114" s="11">
        <f t="shared" si="71"/>
        <v>3.82</v>
      </c>
      <c r="BB114" s="8" t="s">
        <v>75</v>
      </c>
    </row>
    <row r="115" spans="2:54" x14ac:dyDescent="0.2">
      <c r="B115" s="19" t="s">
        <v>99</v>
      </c>
      <c r="C115" s="45" t="s">
        <v>187</v>
      </c>
      <c r="D115" s="19"/>
      <c r="E115" s="11"/>
      <c r="F115" s="11">
        <f t="shared" si="69"/>
        <v>0</v>
      </c>
      <c r="G115" s="11">
        <f t="shared" si="69"/>
        <v>0</v>
      </c>
      <c r="H115" s="11">
        <f t="shared" si="69"/>
        <v>6.4</v>
      </c>
      <c r="I115" s="11">
        <f t="shared" si="69"/>
        <v>6.4</v>
      </c>
      <c r="J115" s="11">
        <f t="shared" si="69"/>
        <v>6.4</v>
      </c>
      <c r="K115" s="11">
        <f t="shared" si="69"/>
        <v>6.4</v>
      </c>
      <c r="L115" s="11">
        <f t="shared" si="69"/>
        <v>6.4</v>
      </c>
      <c r="M115" s="11">
        <f t="shared" si="69"/>
        <v>6.4</v>
      </c>
      <c r="N115" s="11">
        <f t="shared" si="69"/>
        <v>6.4</v>
      </c>
      <c r="O115" s="11"/>
      <c r="P115" s="11"/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7.2</v>
      </c>
      <c r="AB115" s="12">
        <v>7.2</v>
      </c>
      <c r="AC115" s="12">
        <v>6.4</v>
      </c>
      <c r="AD115" s="11">
        <f t="shared" si="72"/>
        <v>6.4</v>
      </c>
      <c r="AE115" s="11">
        <f t="shared" si="71"/>
        <v>6.4</v>
      </c>
      <c r="AF115" s="11">
        <f t="shared" si="71"/>
        <v>6.4</v>
      </c>
      <c r="AG115" s="11">
        <f t="shared" si="71"/>
        <v>6.4</v>
      </c>
      <c r="AH115" s="11">
        <f t="shared" si="71"/>
        <v>6.4</v>
      </c>
      <c r="AI115" s="11">
        <f t="shared" si="71"/>
        <v>6.4</v>
      </c>
      <c r="AJ115" s="11">
        <f t="shared" si="71"/>
        <v>6.4</v>
      </c>
      <c r="AK115" s="11">
        <f t="shared" si="71"/>
        <v>6.4</v>
      </c>
      <c r="AL115" s="11">
        <f t="shared" si="71"/>
        <v>6.4</v>
      </c>
      <c r="AM115" s="11">
        <f t="shared" si="71"/>
        <v>6.4</v>
      </c>
      <c r="AN115" s="11">
        <f t="shared" si="71"/>
        <v>6.4</v>
      </c>
      <c r="AO115" s="11">
        <f t="shared" si="71"/>
        <v>6.4</v>
      </c>
      <c r="AP115" s="11">
        <f t="shared" si="71"/>
        <v>6.4</v>
      </c>
      <c r="AQ115" s="11">
        <f t="shared" si="71"/>
        <v>6.4</v>
      </c>
      <c r="AR115" s="11">
        <f t="shared" si="71"/>
        <v>6.4</v>
      </c>
      <c r="AS115" s="11">
        <f t="shared" si="71"/>
        <v>6.4</v>
      </c>
      <c r="AT115" s="11">
        <f t="shared" si="71"/>
        <v>6.4</v>
      </c>
      <c r="AU115" s="11">
        <f t="shared" si="71"/>
        <v>6.4</v>
      </c>
      <c r="AV115" s="11">
        <f t="shared" si="71"/>
        <v>6.4</v>
      </c>
      <c r="AW115" s="11">
        <f t="shared" si="71"/>
        <v>6.4</v>
      </c>
      <c r="AX115" s="11">
        <f t="shared" si="71"/>
        <v>6.4</v>
      </c>
      <c r="AY115" s="11">
        <f t="shared" si="71"/>
        <v>6.4</v>
      </c>
      <c r="AZ115" s="11">
        <f t="shared" si="71"/>
        <v>6.4</v>
      </c>
      <c r="BA115" s="11">
        <f t="shared" si="71"/>
        <v>6.4</v>
      </c>
      <c r="BB115" s="8" t="s">
        <v>75</v>
      </c>
    </row>
    <row r="116" spans="2:54" x14ac:dyDescent="0.2">
      <c r="B116" s="19" t="s">
        <v>57</v>
      </c>
      <c r="C116" s="45" t="s">
        <v>187</v>
      </c>
      <c r="D116" s="19"/>
      <c r="E116" s="11"/>
      <c r="F116" s="11">
        <f t="shared" si="69"/>
        <v>5.343</v>
      </c>
      <c r="G116" s="11">
        <f t="shared" si="69"/>
        <v>11.756</v>
      </c>
      <c r="H116" s="11">
        <f t="shared" si="69"/>
        <v>40.774000000000001</v>
      </c>
      <c r="I116" s="11">
        <f t="shared" si="69"/>
        <v>40.774000000000001</v>
      </c>
      <c r="J116" s="11">
        <f t="shared" si="69"/>
        <v>40.774000000000001</v>
      </c>
      <c r="K116" s="11">
        <f t="shared" si="69"/>
        <v>40.774000000000001</v>
      </c>
      <c r="L116" s="11">
        <f t="shared" si="69"/>
        <v>40.774000000000001</v>
      </c>
      <c r="M116" s="11">
        <f t="shared" si="69"/>
        <v>40.774000000000001</v>
      </c>
      <c r="N116" s="11">
        <f t="shared" si="69"/>
        <v>40.774000000000001</v>
      </c>
      <c r="O116" s="11"/>
      <c r="P116" s="11"/>
      <c r="R116" s="12">
        <v>5.28</v>
      </c>
      <c r="S116" s="12">
        <v>5.3570000000000002</v>
      </c>
      <c r="T116" s="12">
        <v>5.343</v>
      </c>
      <c r="U116" s="12">
        <v>5.343</v>
      </c>
      <c r="V116" s="12">
        <v>5.3427524499999999</v>
      </c>
      <c r="W116" s="12">
        <v>5.3479999999999999</v>
      </c>
      <c r="X116" s="12">
        <v>10.23</v>
      </c>
      <c r="Y116" s="12">
        <v>11.756</v>
      </c>
      <c r="Z116" s="12">
        <v>12.382999999999999</v>
      </c>
      <c r="AA116" s="12">
        <v>12.695</v>
      </c>
      <c r="AB116" s="12">
        <v>13.26</v>
      </c>
      <c r="AC116" s="12">
        <v>40.774000000000001</v>
      </c>
      <c r="AD116" s="11">
        <f t="shared" si="72"/>
        <v>40.774000000000001</v>
      </c>
      <c r="AE116" s="11">
        <f t="shared" si="71"/>
        <v>40.774000000000001</v>
      </c>
      <c r="AF116" s="11">
        <f t="shared" si="71"/>
        <v>40.774000000000001</v>
      </c>
      <c r="AG116" s="11">
        <f t="shared" si="71"/>
        <v>40.774000000000001</v>
      </c>
      <c r="AH116" s="11">
        <f t="shared" si="71"/>
        <v>40.774000000000001</v>
      </c>
      <c r="AI116" s="11">
        <f t="shared" si="71"/>
        <v>40.774000000000001</v>
      </c>
      <c r="AJ116" s="11">
        <f t="shared" si="71"/>
        <v>40.774000000000001</v>
      </c>
      <c r="AK116" s="11">
        <f t="shared" si="71"/>
        <v>40.774000000000001</v>
      </c>
      <c r="AL116" s="11">
        <f t="shared" si="71"/>
        <v>40.774000000000001</v>
      </c>
      <c r="AM116" s="11">
        <f t="shared" si="71"/>
        <v>40.774000000000001</v>
      </c>
      <c r="AN116" s="11">
        <f t="shared" si="71"/>
        <v>40.774000000000001</v>
      </c>
      <c r="AO116" s="11">
        <f t="shared" si="71"/>
        <v>40.774000000000001</v>
      </c>
      <c r="AP116" s="11">
        <f t="shared" si="71"/>
        <v>40.774000000000001</v>
      </c>
      <c r="AQ116" s="11">
        <f t="shared" si="71"/>
        <v>40.774000000000001</v>
      </c>
      <c r="AR116" s="11">
        <f t="shared" si="71"/>
        <v>40.774000000000001</v>
      </c>
      <c r="AS116" s="11">
        <f t="shared" si="71"/>
        <v>40.774000000000001</v>
      </c>
      <c r="AT116" s="11">
        <f t="shared" si="71"/>
        <v>40.774000000000001</v>
      </c>
      <c r="AU116" s="11">
        <f t="shared" si="71"/>
        <v>40.774000000000001</v>
      </c>
      <c r="AV116" s="11">
        <f t="shared" si="71"/>
        <v>40.774000000000001</v>
      </c>
      <c r="AW116" s="11">
        <f t="shared" si="71"/>
        <v>40.774000000000001</v>
      </c>
      <c r="AX116" s="11">
        <f t="shared" si="71"/>
        <v>40.774000000000001</v>
      </c>
      <c r="AY116" s="11">
        <f t="shared" si="71"/>
        <v>40.774000000000001</v>
      </c>
      <c r="AZ116" s="11">
        <f t="shared" si="71"/>
        <v>40.774000000000001</v>
      </c>
      <c r="BA116" s="11">
        <f t="shared" si="71"/>
        <v>40.774000000000001</v>
      </c>
      <c r="BB116" s="8" t="s">
        <v>75</v>
      </c>
    </row>
    <row r="117" spans="2:54" x14ac:dyDescent="0.2">
      <c r="B117" s="19" t="s">
        <v>107</v>
      </c>
      <c r="C117" s="45" t="s">
        <v>187</v>
      </c>
      <c r="D117" s="19"/>
      <c r="E117" s="11"/>
      <c r="F117" s="11">
        <f t="shared" si="69"/>
        <v>6.4580000000000002</v>
      </c>
      <c r="G117" s="11">
        <f t="shared" si="69"/>
        <v>6.7039999999999997</v>
      </c>
      <c r="H117" s="11">
        <f t="shared" si="69"/>
        <v>9.4909999999999997</v>
      </c>
      <c r="I117" s="11">
        <f t="shared" si="69"/>
        <v>9.4909999999999997</v>
      </c>
      <c r="J117" s="11">
        <f t="shared" si="69"/>
        <v>9.4909999999999997</v>
      </c>
      <c r="K117" s="11">
        <f t="shared" si="69"/>
        <v>9.4909999999999997</v>
      </c>
      <c r="L117" s="11">
        <f t="shared" si="69"/>
        <v>9.4909999999999997</v>
      </c>
      <c r="M117" s="11">
        <f t="shared" si="69"/>
        <v>9.4909999999999997</v>
      </c>
      <c r="N117" s="11">
        <f t="shared" si="69"/>
        <v>9.4909999999999997</v>
      </c>
      <c r="O117" s="11"/>
      <c r="P117" s="11"/>
      <c r="R117" s="12">
        <v>0.30299999999999999</v>
      </c>
      <c r="S117" s="12">
        <v>5.4829999999999997</v>
      </c>
      <c r="T117" s="12">
        <v>6.6619999999999999</v>
      </c>
      <c r="U117" s="12">
        <v>6.4580000000000002</v>
      </c>
      <c r="V117" s="12">
        <v>6.4912942399999993</v>
      </c>
      <c r="W117" s="12">
        <v>6.3890000000000002</v>
      </c>
      <c r="X117" s="12">
        <v>6.9160000000000004</v>
      </c>
      <c r="Y117" s="12">
        <v>6.7039999999999997</v>
      </c>
      <c r="Z117" s="12">
        <v>8.5589999999999993</v>
      </c>
      <c r="AA117" s="12">
        <v>8.9990000000000006</v>
      </c>
      <c r="AB117" s="12">
        <v>9.2609999999999992</v>
      </c>
      <c r="AC117" s="12">
        <v>9.4909999999999997</v>
      </c>
      <c r="AD117" s="11">
        <f t="shared" si="72"/>
        <v>9.4909999999999997</v>
      </c>
      <c r="AE117" s="11">
        <f t="shared" si="71"/>
        <v>9.4909999999999997</v>
      </c>
      <c r="AF117" s="11">
        <f t="shared" si="71"/>
        <v>9.4909999999999997</v>
      </c>
      <c r="AG117" s="11">
        <f t="shared" si="71"/>
        <v>9.4909999999999997</v>
      </c>
      <c r="AH117" s="11">
        <f t="shared" si="71"/>
        <v>9.4909999999999997</v>
      </c>
      <c r="AI117" s="11">
        <f t="shared" si="71"/>
        <v>9.4909999999999997</v>
      </c>
      <c r="AJ117" s="11">
        <f t="shared" si="71"/>
        <v>9.4909999999999997</v>
      </c>
      <c r="AK117" s="11">
        <f t="shared" si="71"/>
        <v>9.4909999999999997</v>
      </c>
      <c r="AL117" s="11">
        <f t="shared" si="71"/>
        <v>9.4909999999999997</v>
      </c>
      <c r="AM117" s="11">
        <f t="shared" si="71"/>
        <v>9.4909999999999997</v>
      </c>
      <c r="AN117" s="11">
        <f t="shared" si="71"/>
        <v>9.4909999999999997</v>
      </c>
      <c r="AO117" s="11">
        <f t="shared" si="71"/>
        <v>9.4909999999999997</v>
      </c>
      <c r="AP117" s="11">
        <f t="shared" si="71"/>
        <v>9.4909999999999997</v>
      </c>
      <c r="AQ117" s="11">
        <f t="shared" si="71"/>
        <v>9.4909999999999997</v>
      </c>
      <c r="AR117" s="11">
        <f t="shared" si="71"/>
        <v>9.4909999999999997</v>
      </c>
      <c r="AS117" s="11">
        <f t="shared" si="71"/>
        <v>9.4909999999999997</v>
      </c>
      <c r="AT117" s="11">
        <f t="shared" si="71"/>
        <v>9.4909999999999997</v>
      </c>
      <c r="AU117" s="11">
        <f t="shared" si="71"/>
        <v>9.4909999999999997</v>
      </c>
      <c r="AV117" s="11">
        <f t="shared" si="71"/>
        <v>9.4909999999999997</v>
      </c>
      <c r="AW117" s="11">
        <f t="shared" si="71"/>
        <v>9.4909999999999997</v>
      </c>
      <c r="AX117" s="11">
        <f t="shared" si="71"/>
        <v>9.4909999999999997</v>
      </c>
      <c r="AY117" s="11">
        <f t="shared" si="71"/>
        <v>9.4909999999999997</v>
      </c>
      <c r="AZ117" s="11">
        <f t="shared" si="71"/>
        <v>9.4909999999999997</v>
      </c>
      <c r="BA117" s="11">
        <f t="shared" si="71"/>
        <v>9.4909999999999997</v>
      </c>
      <c r="BB117" s="8" t="s">
        <v>75</v>
      </c>
    </row>
    <row r="118" spans="2:54" x14ac:dyDescent="0.2">
      <c r="B118" s="19" t="s">
        <v>108</v>
      </c>
      <c r="C118" s="45" t="s">
        <v>187</v>
      </c>
      <c r="D118" s="19"/>
      <c r="E118" s="11"/>
      <c r="F118" s="11">
        <f t="shared" si="69"/>
        <v>37.69</v>
      </c>
      <c r="G118" s="11">
        <f t="shared" si="69"/>
        <v>46.718000000000004</v>
      </c>
      <c r="H118" s="11">
        <f t="shared" si="69"/>
        <v>148.86199999999999</v>
      </c>
      <c r="I118" s="11">
        <f t="shared" si="69"/>
        <v>148.86199999999999</v>
      </c>
      <c r="J118" s="11">
        <f t="shared" si="69"/>
        <v>148.86199999999999</v>
      </c>
      <c r="K118" s="11">
        <f t="shared" si="69"/>
        <v>148.86199999999999</v>
      </c>
      <c r="L118" s="11">
        <f t="shared" si="69"/>
        <v>148.86199999999999</v>
      </c>
      <c r="M118" s="11">
        <f t="shared" si="69"/>
        <v>148.86199999999999</v>
      </c>
      <c r="N118" s="11">
        <f t="shared" si="69"/>
        <v>148.86199999999999</v>
      </c>
      <c r="O118" s="11"/>
      <c r="P118" s="11"/>
      <c r="R118" s="12">
        <v>42.756</v>
      </c>
      <c r="S118" s="12">
        <v>18.608000000000001</v>
      </c>
      <c r="T118" s="12">
        <v>25.937000000000001</v>
      </c>
      <c r="U118" s="12">
        <v>37.69</v>
      </c>
      <c r="V118" s="12">
        <v>33.388946099999998</v>
      </c>
      <c r="W118" s="12">
        <v>30.163</v>
      </c>
      <c r="X118" s="12">
        <v>52.356000000000002</v>
      </c>
      <c r="Y118" s="12">
        <v>46.718000000000004</v>
      </c>
      <c r="Z118" s="12">
        <v>151.54900000000001</v>
      </c>
      <c r="AA118" s="12">
        <v>171.41</v>
      </c>
      <c r="AB118" s="12">
        <v>180.23400000000001</v>
      </c>
      <c r="AC118" s="12">
        <v>148.86199999999999</v>
      </c>
      <c r="AD118" s="11">
        <f t="shared" si="72"/>
        <v>148.86199999999999</v>
      </c>
      <c r="AE118" s="11">
        <f t="shared" si="71"/>
        <v>148.86199999999999</v>
      </c>
      <c r="AF118" s="11">
        <f t="shared" si="71"/>
        <v>148.86199999999999</v>
      </c>
      <c r="AG118" s="11">
        <f t="shared" si="71"/>
        <v>148.86199999999999</v>
      </c>
      <c r="AH118" s="11">
        <f t="shared" si="71"/>
        <v>148.86199999999999</v>
      </c>
      <c r="AI118" s="11">
        <f t="shared" si="71"/>
        <v>148.86199999999999</v>
      </c>
      <c r="AJ118" s="11">
        <f t="shared" si="71"/>
        <v>148.86199999999999</v>
      </c>
      <c r="AK118" s="11">
        <f t="shared" si="71"/>
        <v>148.86199999999999</v>
      </c>
      <c r="AL118" s="11">
        <f t="shared" si="71"/>
        <v>148.86199999999999</v>
      </c>
      <c r="AM118" s="11">
        <f t="shared" si="71"/>
        <v>148.86199999999999</v>
      </c>
      <c r="AN118" s="11">
        <f t="shared" si="71"/>
        <v>148.86199999999999</v>
      </c>
      <c r="AO118" s="11">
        <f t="shared" si="71"/>
        <v>148.86199999999999</v>
      </c>
      <c r="AP118" s="11">
        <f t="shared" si="71"/>
        <v>148.86199999999999</v>
      </c>
      <c r="AQ118" s="11">
        <f t="shared" si="71"/>
        <v>148.86199999999999</v>
      </c>
      <c r="AR118" s="11">
        <f t="shared" si="71"/>
        <v>148.86199999999999</v>
      </c>
      <c r="AS118" s="11">
        <f t="shared" si="71"/>
        <v>148.86199999999999</v>
      </c>
      <c r="AT118" s="11">
        <f t="shared" si="71"/>
        <v>148.86199999999999</v>
      </c>
      <c r="AU118" s="11">
        <f t="shared" si="71"/>
        <v>148.86199999999999</v>
      </c>
      <c r="AV118" s="11">
        <f t="shared" si="71"/>
        <v>148.86199999999999</v>
      </c>
      <c r="AW118" s="11">
        <f t="shared" si="71"/>
        <v>148.86199999999999</v>
      </c>
      <c r="AX118" s="11">
        <f t="shared" si="71"/>
        <v>148.86199999999999</v>
      </c>
      <c r="AY118" s="11">
        <f t="shared" si="71"/>
        <v>148.86199999999999</v>
      </c>
      <c r="AZ118" s="11">
        <f t="shared" si="71"/>
        <v>148.86199999999999</v>
      </c>
      <c r="BA118" s="11">
        <f t="shared" si="71"/>
        <v>148.86199999999999</v>
      </c>
      <c r="BB118" s="8" t="s">
        <v>75</v>
      </c>
    </row>
    <row r="119" spans="2:54" x14ac:dyDescent="0.2">
      <c r="B119" s="19" t="s">
        <v>101</v>
      </c>
      <c r="C119" s="45" t="s">
        <v>187</v>
      </c>
      <c r="D119" s="19"/>
      <c r="E119" s="11"/>
      <c r="F119" s="11">
        <f t="shared" si="69"/>
        <v>0</v>
      </c>
      <c r="G119" s="11">
        <f t="shared" si="69"/>
        <v>55.198999999999998</v>
      </c>
      <c r="H119" s="11">
        <f t="shared" si="69"/>
        <v>77.587999999999994</v>
      </c>
      <c r="I119" s="11">
        <f t="shared" si="69"/>
        <v>77.587999999999994</v>
      </c>
      <c r="J119" s="11">
        <f t="shared" si="69"/>
        <v>77.587999999999994</v>
      </c>
      <c r="K119" s="11">
        <f t="shared" si="69"/>
        <v>77.587999999999994</v>
      </c>
      <c r="L119" s="11">
        <f t="shared" si="69"/>
        <v>77.587999999999994</v>
      </c>
      <c r="M119" s="11">
        <f t="shared" si="69"/>
        <v>77.587999999999994</v>
      </c>
      <c r="N119" s="11">
        <f t="shared" si="69"/>
        <v>77.587999999999994</v>
      </c>
      <c r="O119" s="11"/>
      <c r="P119" s="11"/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39.923000000000002</v>
      </c>
      <c r="X119" s="12">
        <v>39.923000000000002</v>
      </c>
      <c r="Y119" s="12">
        <v>55.198999999999998</v>
      </c>
      <c r="Z119" s="12">
        <v>39.710999999999999</v>
      </c>
      <c r="AA119" s="12">
        <v>63.08</v>
      </c>
      <c r="AB119" s="12">
        <v>78.710009277373999</v>
      </c>
      <c r="AC119" s="12">
        <v>77.587999999999994</v>
      </c>
      <c r="AD119" s="11">
        <f t="shared" si="72"/>
        <v>77.587999999999994</v>
      </c>
      <c r="AE119" s="11">
        <f t="shared" si="71"/>
        <v>77.587999999999994</v>
      </c>
      <c r="AF119" s="11">
        <f t="shared" si="71"/>
        <v>77.587999999999994</v>
      </c>
      <c r="AG119" s="11">
        <f t="shared" si="71"/>
        <v>77.587999999999994</v>
      </c>
      <c r="AH119" s="11">
        <f t="shared" si="71"/>
        <v>77.587999999999994</v>
      </c>
      <c r="AI119" s="11">
        <f t="shared" si="71"/>
        <v>77.587999999999994</v>
      </c>
      <c r="AJ119" s="11">
        <f t="shared" si="71"/>
        <v>77.587999999999994</v>
      </c>
      <c r="AK119" s="11">
        <f t="shared" si="71"/>
        <v>77.587999999999994</v>
      </c>
      <c r="AL119" s="11">
        <f t="shared" si="71"/>
        <v>77.587999999999994</v>
      </c>
      <c r="AM119" s="11">
        <f t="shared" si="71"/>
        <v>77.587999999999994</v>
      </c>
      <c r="AN119" s="11">
        <f t="shared" si="71"/>
        <v>77.587999999999994</v>
      </c>
      <c r="AO119" s="11">
        <f t="shared" si="71"/>
        <v>77.587999999999994</v>
      </c>
      <c r="AP119" s="11">
        <f t="shared" si="71"/>
        <v>77.587999999999994</v>
      </c>
      <c r="AQ119" s="11">
        <f t="shared" si="71"/>
        <v>77.587999999999994</v>
      </c>
      <c r="AR119" s="11">
        <f t="shared" si="71"/>
        <v>77.587999999999994</v>
      </c>
      <c r="AS119" s="11">
        <f t="shared" si="71"/>
        <v>77.587999999999994</v>
      </c>
      <c r="AT119" s="11">
        <f t="shared" si="71"/>
        <v>77.587999999999994</v>
      </c>
      <c r="AU119" s="11">
        <f t="shared" si="71"/>
        <v>77.587999999999994</v>
      </c>
      <c r="AV119" s="11">
        <f t="shared" si="71"/>
        <v>77.587999999999994</v>
      </c>
      <c r="AW119" s="11">
        <f t="shared" si="71"/>
        <v>77.587999999999994</v>
      </c>
      <c r="AX119" s="11">
        <f t="shared" si="71"/>
        <v>77.587999999999994</v>
      </c>
      <c r="AY119" s="11">
        <f t="shared" si="71"/>
        <v>77.587999999999994</v>
      </c>
      <c r="AZ119" s="11">
        <f t="shared" si="71"/>
        <v>77.587999999999994</v>
      </c>
      <c r="BA119" s="11">
        <f t="shared" si="71"/>
        <v>77.587999999999994</v>
      </c>
      <c r="BB119" s="8" t="s">
        <v>75</v>
      </c>
    </row>
    <row r="120" spans="2:54" x14ac:dyDescent="0.2">
      <c r="B120" s="19" t="s">
        <v>102</v>
      </c>
      <c r="C120" s="45" t="s">
        <v>187</v>
      </c>
      <c r="D120" s="19"/>
      <c r="E120" s="11"/>
      <c r="F120" s="11">
        <f t="shared" si="69"/>
        <v>0</v>
      </c>
      <c r="G120" s="11">
        <f t="shared" si="69"/>
        <v>25.617999999999999</v>
      </c>
      <c r="H120" s="11">
        <f t="shared" si="69"/>
        <v>37.372999999999998</v>
      </c>
      <c r="I120" s="11">
        <f t="shared" si="69"/>
        <v>37.372999999999998</v>
      </c>
      <c r="J120" s="11">
        <f t="shared" si="69"/>
        <v>37.372999999999998</v>
      </c>
      <c r="K120" s="11">
        <f t="shared" si="69"/>
        <v>37.372999999999998</v>
      </c>
      <c r="L120" s="11">
        <f t="shared" si="69"/>
        <v>37.372999999999998</v>
      </c>
      <c r="M120" s="11">
        <f t="shared" si="69"/>
        <v>37.372999999999998</v>
      </c>
      <c r="N120" s="11">
        <f t="shared" si="69"/>
        <v>37.372999999999998</v>
      </c>
      <c r="O120" s="11"/>
      <c r="P120" s="11"/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25.617999999999999</v>
      </c>
      <c r="Z120" s="12">
        <v>25.617999999999999</v>
      </c>
      <c r="AA120" s="12">
        <v>25.617999999999999</v>
      </c>
      <c r="AB120" s="12">
        <v>37.747076428402004</v>
      </c>
      <c r="AC120" s="12">
        <v>37.372999999999998</v>
      </c>
      <c r="AD120" s="11">
        <f t="shared" si="72"/>
        <v>37.372999999999998</v>
      </c>
      <c r="AE120" s="11">
        <f t="shared" si="71"/>
        <v>37.372999999999998</v>
      </c>
      <c r="AF120" s="11">
        <f t="shared" si="71"/>
        <v>37.372999999999998</v>
      </c>
      <c r="AG120" s="11">
        <f t="shared" si="71"/>
        <v>37.372999999999998</v>
      </c>
      <c r="AH120" s="11">
        <f t="shared" si="71"/>
        <v>37.372999999999998</v>
      </c>
      <c r="AI120" s="11">
        <f t="shared" si="71"/>
        <v>37.372999999999998</v>
      </c>
      <c r="AJ120" s="11">
        <f t="shared" si="71"/>
        <v>37.372999999999998</v>
      </c>
      <c r="AK120" s="11">
        <f t="shared" si="71"/>
        <v>37.372999999999998</v>
      </c>
      <c r="AL120" s="11">
        <f t="shared" si="71"/>
        <v>37.372999999999998</v>
      </c>
      <c r="AM120" s="11">
        <f t="shared" si="71"/>
        <v>37.372999999999998</v>
      </c>
      <c r="AN120" s="11">
        <f t="shared" si="71"/>
        <v>37.372999999999998</v>
      </c>
      <c r="AO120" s="11">
        <f t="shared" si="71"/>
        <v>37.372999999999998</v>
      </c>
      <c r="AP120" s="11">
        <f t="shared" si="71"/>
        <v>37.372999999999998</v>
      </c>
      <c r="AQ120" s="11">
        <f t="shared" si="71"/>
        <v>37.372999999999998</v>
      </c>
      <c r="AR120" s="11">
        <f t="shared" si="71"/>
        <v>37.372999999999998</v>
      </c>
      <c r="AS120" s="11">
        <f t="shared" si="71"/>
        <v>37.372999999999998</v>
      </c>
      <c r="AT120" s="11">
        <f t="shared" si="71"/>
        <v>37.372999999999998</v>
      </c>
      <c r="AU120" s="11">
        <f t="shared" si="71"/>
        <v>37.372999999999998</v>
      </c>
      <c r="AV120" s="11">
        <f t="shared" si="71"/>
        <v>37.372999999999998</v>
      </c>
      <c r="AW120" s="11">
        <f t="shared" si="71"/>
        <v>37.372999999999998</v>
      </c>
      <c r="AX120" s="11">
        <f t="shared" si="71"/>
        <v>37.372999999999998</v>
      </c>
      <c r="AY120" s="11">
        <f t="shared" si="71"/>
        <v>37.372999999999998</v>
      </c>
      <c r="AZ120" s="11">
        <f t="shared" si="71"/>
        <v>37.372999999999998</v>
      </c>
      <c r="BA120" s="11">
        <f t="shared" si="71"/>
        <v>37.372999999999998</v>
      </c>
      <c r="BB120" s="8" t="s">
        <v>75</v>
      </c>
    </row>
    <row r="121" spans="2:54" x14ac:dyDescent="0.2">
      <c r="B121" s="19" t="s">
        <v>55</v>
      </c>
      <c r="C121" s="45" t="s">
        <v>187</v>
      </c>
      <c r="D121" s="19"/>
      <c r="E121" s="11"/>
      <c r="F121" s="11">
        <f t="shared" si="69"/>
        <v>0</v>
      </c>
      <c r="G121" s="11">
        <f t="shared" si="69"/>
        <v>30.75</v>
      </c>
      <c r="H121" s="11">
        <f t="shared" si="69"/>
        <v>8.3580000000000005</v>
      </c>
      <c r="I121" s="11">
        <f t="shared" si="69"/>
        <v>8.3580000000000005</v>
      </c>
      <c r="J121" s="11">
        <f t="shared" si="69"/>
        <v>8.3580000000000005</v>
      </c>
      <c r="K121" s="11">
        <f t="shared" si="69"/>
        <v>8.3580000000000005</v>
      </c>
      <c r="L121" s="11">
        <f t="shared" si="69"/>
        <v>8.3580000000000005</v>
      </c>
      <c r="M121" s="11">
        <f t="shared" si="69"/>
        <v>8.3580000000000005</v>
      </c>
      <c r="N121" s="11">
        <f t="shared" si="69"/>
        <v>8.3580000000000005</v>
      </c>
      <c r="O121" s="11"/>
      <c r="P121" s="11"/>
      <c r="R121" s="12">
        <v>0</v>
      </c>
      <c r="S121" s="12">
        <v>12.099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30.75</v>
      </c>
      <c r="Z121" s="12">
        <v>30.75</v>
      </c>
      <c r="AA121" s="12">
        <v>18.555</v>
      </c>
      <c r="AB121" s="12">
        <v>19.585000000000001</v>
      </c>
      <c r="AC121" s="12">
        <v>8.3580000000000005</v>
      </c>
      <c r="AD121" s="11">
        <f t="shared" si="72"/>
        <v>8.3580000000000005</v>
      </c>
      <c r="AE121" s="11">
        <f t="shared" si="71"/>
        <v>8.3580000000000005</v>
      </c>
      <c r="AF121" s="11">
        <f t="shared" si="71"/>
        <v>8.3580000000000005</v>
      </c>
      <c r="AG121" s="11">
        <f t="shared" si="71"/>
        <v>8.3580000000000005</v>
      </c>
      <c r="AH121" s="11">
        <f t="shared" si="71"/>
        <v>8.3580000000000005</v>
      </c>
      <c r="AI121" s="11">
        <f t="shared" si="71"/>
        <v>8.3580000000000005</v>
      </c>
      <c r="AJ121" s="11">
        <f t="shared" si="71"/>
        <v>8.3580000000000005</v>
      </c>
      <c r="AK121" s="11">
        <f t="shared" si="71"/>
        <v>8.3580000000000005</v>
      </c>
      <c r="AL121" s="11">
        <f t="shared" si="71"/>
        <v>8.3580000000000005</v>
      </c>
      <c r="AM121" s="11">
        <f t="shared" si="71"/>
        <v>8.3580000000000005</v>
      </c>
      <c r="AN121" s="11">
        <f t="shared" si="71"/>
        <v>8.3580000000000005</v>
      </c>
      <c r="AO121" s="11">
        <f t="shared" si="71"/>
        <v>8.3580000000000005</v>
      </c>
      <c r="AP121" s="11">
        <f t="shared" si="71"/>
        <v>8.3580000000000005</v>
      </c>
      <c r="AQ121" s="11">
        <f t="shared" si="71"/>
        <v>8.3580000000000005</v>
      </c>
      <c r="AR121" s="11">
        <f t="shared" si="71"/>
        <v>8.3580000000000005</v>
      </c>
      <c r="AS121" s="11">
        <f t="shared" si="71"/>
        <v>8.3580000000000005</v>
      </c>
      <c r="AT121" s="11">
        <f t="shared" si="71"/>
        <v>8.3580000000000005</v>
      </c>
      <c r="AU121" s="11">
        <f t="shared" si="71"/>
        <v>8.3580000000000005</v>
      </c>
      <c r="AV121" s="11">
        <f t="shared" si="71"/>
        <v>8.3580000000000005</v>
      </c>
      <c r="AW121" s="11">
        <f t="shared" si="71"/>
        <v>8.3580000000000005</v>
      </c>
      <c r="AX121" s="11">
        <f t="shared" si="71"/>
        <v>8.3580000000000005</v>
      </c>
      <c r="AY121" s="11">
        <f t="shared" si="71"/>
        <v>8.3580000000000005</v>
      </c>
      <c r="AZ121" s="11">
        <f t="shared" si="71"/>
        <v>8.3580000000000005</v>
      </c>
      <c r="BA121" s="11">
        <f t="shared" si="71"/>
        <v>8.3580000000000005</v>
      </c>
      <c r="BB121" s="8" t="s">
        <v>75</v>
      </c>
    </row>
    <row r="122" spans="2:54" x14ac:dyDescent="0.2">
      <c r="B122" s="19" t="s">
        <v>56</v>
      </c>
      <c r="C122" s="45" t="s">
        <v>187</v>
      </c>
      <c r="D122" s="19"/>
      <c r="E122" s="11"/>
      <c r="F122" s="11">
        <f t="shared" si="69"/>
        <v>18.989999999999998</v>
      </c>
      <c r="G122" s="11">
        <f t="shared" si="69"/>
        <v>19.07</v>
      </c>
      <c r="H122" s="11">
        <f t="shared" si="69"/>
        <v>29.256</v>
      </c>
      <c r="I122" s="11">
        <f t="shared" si="69"/>
        <v>29.256</v>
      </c>
      <c r="J122" s="11">
        <f t="shared" si="69"/>
        <v>29.256</v>
      </c>
      <c r="K122" s="11">
        <f t="shared" si="69"/>
        <v>29.256</v>
      </c>
      <c r="L122" s="11">
        <f t="shared" si="69"/>
        <v>29.256</v>
      </c>
      <c r="M122" s="11">
        <f t="shared" si="69"/>
        <v>29.256</v>
      </c>
      <c r="N122" s="11">
        <f t="shared" si="69"/>
        <v>29.256</v>
      </c>
      <c r="O122" s="11"/>
      <c r="P122" s="11"/>
      <c r="R122" s="12">
        <v>13.289</v>
      </c>
      <c r="S122" s="12">
        <v>0</v>
      </c>
      <c r="T122" s="12">
        <v>18.224</v>
      </c>
      <c r="U122" s="12">
        <v>18.989999999999998</v>
      </c>
      <c r="V122" s="12">
        <v>28.679142700958</v>
      </c>
      <c r="W122" s="12">
        <v>27.582000000000001</v>
      </c>
      <c r="X122" s="12">
        <v>30.536000000000001</v>
      </c>
      <c r="Y122" s="12">
        <v>19.07</v>
      </c>
      <c r="Z122" s="12">
        <v>23.911999999999999</v>
      </c>
      <c r="AA122" s="12">
        <v>26.722000000000001</v>
      </c>
      <c r="AB122" s="12">
        <v>28.905999999999999</v>
      </c>
      <c r="AC122" s="12">
        <v>29.256</v>
      </c>
      <c r="AD122" s="11">
        <f t="shared" si="72"/>
        <v>29.256</v>
      </c>
      <c r="AE122" s="11">
        <f t="shared" si="71"/>
        <v>29.256</v>
      </c>
      <c r="AF122" s="11">
        <f t="shared" si="71"/>
        <v>29.256</v>
      </c>
      <c r="AG122" s="11">
        <f t="shared" si="71"/>
        <v>29.256</v>
      </c>
      <c r="AH122" s="11">
        <f t="shared" si="71"/>
        <v>29.256</v>
      </c>
      <c r="AI122" s="11">
        <f t="shared" si="71"/>
        <v>29.256</v>
      </c>
      <c r="AJ122" s="11">
        <f t="shared" si="71"/>
        <v>29.256</v>
      </c>
      <c r="AK122" s="11">
        <f t="shared" si="71"/>
        <v>29.256</v>
      </c>
      <c r="AL122" s="11">
        <f t="shared" si="71"/>
        <v>29.256</v>
      </c>
      <c r="AM122" s="11">
        <f t="shared" si="71"/>
        <v>29.256</v>
      </c>
      <c r="AN122" s="11">
        <f t="shared" si="71"/>
        <v>29.256</v>
      </c>
      <c r="AO122" s="11">
        <f t="shared" si="71"/>
        <v>29.256</v>
      </c>
      <c r="AP122" s="11">
        <f t="shared" si="71"/>
        <v>29.256</v>
      </c>
      <c r="AQ122" s="11">
        <f t="shared" si="71"/>
        <v>29.256</v>
      </c>
      <c r="AR122" s="11">
        <f t="shared" si="71"/>
        <v>29.256</v>
      </c>
      <c r="AS122" s="11">
        <f t="shared" si="71"/>
        <v>29.256</v>
      </c>
      <c r="AT122" s="11">
        <f t="shared" si="71"/>
        <v>29.256</v>
      </c>
      <c r="AU122" s="11">
        <f t="shared" si="71"/>
        <v>29.256</v>
      </c>
      <c r="AV122" s="11">
        <f t="shared" si="71"/>
        <v>29.256</v>
      </c>
      <c r="AW122" s="11">
        <f t="shared" si="71"/>
        <v>29.256</v>
      </c>
      <c r="AX122" s="11">
        <f t="shared" si="71"/>
        <v>29.256</v>
      </c>
      <c r="AY122" s="11">
        <f t="shared" si="71"/>
        <v>29.256</v>
      </c>
      <c r="AZ122" s="11">
        <f t="shared" si="71"/>
        <v>29.256</v>
      </c>
      <c r="BA122" s="11">
        <f t="shared" si="71"/>
        <v>29.256</v>
      </c>
      <c r="BB122" s="8" t="s">
        <v>75</v>
      </c>
    </row>
    <row r="123" spans="2:54" x14ac:dyDescent="0.2">
      <c r="B123" s="19" t="s">
        <v>59</v>
      </c>
      <c r="C123" s="45" t="s">
        <v>187</v>
      </c>
      <c r="D123" s="19"/>
      <c r="E123" s="11"/>
      <c r="F123" s="11">
        <f t="shared" ref="F123:N128" si="73">+SUMIFS(123:123,$3:$3,"4Q"&amp;RIGHT(F$3,2))</f>
        <v>1.4E-2</v>
      </c>
      <c r="G123" s="11">
        <f t="shared" si="73"/>
        <v>0</v>
      </c>
      <c r="H123" s="11">
        <f t="shared" si="73"/>
        <v>0</v>
      </c>
      <c r="I123" s="11">
        <f t="shared" si="73"/>
        <v>0</v>
      </c>
      <c r="J123" s="11">
        <f t="shared" si="73"/>
        <v>0</v>
      </c>
      <c r="K123" s="11">
        <f t="shared" si="73"/>
        <v>0</v>
      </c>
      <c r="L123" s="11">
        <f t="shared" si="73"/>
        <v>0</v>
      </c>
      <c r="M123" s="11">
        <f t="shared" si="73"/>
        <v>0</v>
      </c>
      <c r="N123" s="11">
        <f t="shared" si="73"/>
        <v>0</v>
      </c>
      <c r="O123" s="11"/>
      <c r="P123" s="11"/>
      <c r="R123" s="12">
        <v>1.4E-2</v>
      </c>
      <c r="S123" s="12">
        <v>2.9750000000000001</v>
      </c>
      <c r="T123" s="12">
        <v>1.4999999999999999E-2</v>
      </c>
      <c r="U123" s="12">
        <v>1.4E-2</v>
      </c>
      <c r="V123" s="12">
        <v>6.414707850000001</v>
      </c>
      <c r="W123" s="12">
        <v>2.3E-2</v>
      </c>
      <c r="X123" s="12">
        <v>0</v>
      </c>
      <c r="Y123" s="12">
        <v>0</v>
      </c>
      <c r="Z123" s="12">
        <v>0</v>
      </c>
      <c r="AA123" s="12">
        <v>0</v>
      </c>
      <c r="AB123" s="12">
        <v>0</v>
      </c>
      <c r="AC123" s="12">
        <v>0</v>
      </c>
      <c r="AD123" s="11">
        <f t="shared" si="72"/>
        <v>0</v>
      </c>
      <c r="AE123" s="11">
        <f t="shared" si="71"/>
        <v>0</v>
      </c>
      <c r="AF123" s="11">
        <f t="shared" si="71"/>
        <v>0</v>
      </c>
      <c r="AG123" s="11">
        <f t="shared" si="71"/>
        <v>0</v>
      </c>
      <c r="AH123" s="11">
        <f t="shared" si="71"/>
        <v>0</v>
      </c>
      <c r="AI123" s="11">
        <f t="shared" si="71"/>
        <v>0</v>
      </c>
      <c r="AJ123" s="11">
        <f t="shared" si="71"/>
        <v>0</v>
      </c>
      <c r="AK123" s="11">
        <f t="shared" si="71"/>
        <v>0</v>
      </c>
      <c r="AL123" s="11">
        <f t="shared" si="71"/>
        <v>0</v>
      </c>
      <c r="AM123" s="11">
        <f t="shared" si="71"/>
        <v>0</v>
      </c>
      <c r="AN123" s="11">
        <f t="shared" si="71"/>
        <v>0</v>
      </c>
      <c r="AO123" s="11">
        <f t="shared" si="71"/>
        <v>0</v>
      </c>
      <c r="AP123" s="11">
        <f t="shared" si="71"/>
        <v>0</v>
      </c>
      <c r="AQ123" s="11">
        <f t="shared" si="71"/>
        <v>0</v>
      </c>
      <c r="AR123" s="11">
        <f t="shared" si="71"/>
        <v>0</v>
      </c>
      <c r="AS123" s="11">
        <f t="shared" si="71"/>
        <v>0</v>
      </c>
      <c r="AT123" s="11">
        <f t="shared" si="71"/>
        <v>0</v>
      </c>
      <c r="AU123" s="11">
        <f t="shared" si="71"/>
        <v>0</v>
      </c>
      <c r="AV123" s="11">
        <f t="shared" si="71"/>
        <v>0</v>
      </c>
      <c r="AW123" s="11">
        <f t="shared" si="71"/>
        <v>0</v>
      </c>
      <c r="AX123" s="11">
        <f t="shared" si="71"/>
        <v>0</v>
      </c>
      <c r="AY123" s="11">
        <f t="shared" si="71"/>
        <v>0</v>
      </c>
      <c r="AZ123" s="11">
        <f t="shared" si="71"/>
        <v>0</v>
      </c>
      <c r="BA123" s="11">
        <f t="shared" si="71"/>
        <v>0</v>
      </c>
      <c r="BB123" s="8" t="s">
        <v>75</v>
      </c>
    </row>
    <row r="124" spans="2:54" x14ac:dyDescent="0.2">
      <c r="B124" s="20" t="s">
        <v>109</v>
      </c>
      <c r="C124" s="45" t="s">
        <v>187</v>
      </c>
      <c r="D124" s="20"/>
      <c r="E124" s="11"/>
      <c r="F124" s="11">
        <f t="shared" si="73"/>
        <v>62.942999999999998</v>
      </c>
      <c r="G124" s="11">
        <f t="shared" si="73"/>
        <v>70.945999999999998</v>
      </c>
      <c r="H124" s="11">
        <f t="shared" si="73"/>
        <v>74.478999999999999</v>
      </c>
      <c r="I124" s="11">
        <f t="shared" si="73"/>
        <v>74.478999999999999</v>
      </c>
      <c r="J124" s="11">
        <f t="shared" si="73"/>
        <v>74.478999999999999</v>
      </c>
      <c r="K124" s="11">
        <f t="shared" si="73"/>
        <v>74.478999999999999</v>
      </c>
      <c r="L124" s="11">
        <f t="shared" si="73"/>
        <v>74.478999999999999</v>
      </c>
      <c r="M124" s="11">
        <f t="shared" si="73"/>
        <v>74.478999999999999</v>
      </c>
      <c r="N124" s="11">
        <f t="shared" si="73"/>
        <v>74.478999999999999</v>
      </c>
      <c r="O124" s="11"/>
      <c r="P124" s="11"/>
      <c r="R124" s="12">
        <v>60.365000000000002</v>
      </c>
      <c r="S124" s="12">
        <v>68.921999999999997</v>
      </c>
      <c r="T124" s="12">
        <v>68.950999999999993</v>
      </c>
      <c r="U124" s="12">
        <v>62.942999999999998</v>
      </c>
      <c r="V124" s="12">
        <v>56.927969685899996</v>
      </c>
      <c r="W124" s="12">
        <v>57.026000000000003</v>
      </c>
      <c r="X124" s="12">
        <v>62.511000000000003</v>
      </c>
      <c r="Y124" s="12">
        <v>70.945999999999998</v>
      </c>
      <c r="Z124" s="12">
        <v>87.832999999999998</v>
      </c>
      <c r="AA124" s="12">
        <v>88.474999999999994</v>
      </c>
      <c r="AB124" s="12">
        <v>88.753</v>
      </c>
      <c r="AC124" s="12">
        <v>74.478999999999999</v>
      </c>
      <c r="AD124" s="11">
        <f t="shared" si="72"/>
        <v>74.478999999999999</v>
      </c>
      <c r="AE124" s="11">
        <f t="shared" si="71"/>
        <v>74.478999999999999</v>
      </c>
      <c r="AF124" s="11">
        <f t="shared" si="71"/>
        <v>74.478999999999999</v>
      </c>
      <c r="AG124" s="11">
        <f t="shared" si="71"/>
        <v>74.478999999999999</v>
      </c>
      <c r="AH124" s="11">
        <f t="shared" si="71"/>
        <v>74.478999999999999</v>
      </c>
      <c r="AI124" s="11">
        <f t="shared" si="71"/>
        <v>74.478999999999999</v>
      </c>
      <c r="AJ124" s="11">
        <f t="shared" si="71"/>
        <v>74.478999999999999</v>
      </c>
      <c r="AK124" s="11">
        <f t="shared" si="71"/>
        <v>74.478999999999999</v>
      </c>
      <c r="AL124" s="11">
        <f t="shared" si="71"/>
        <v>74.478999999999999</v>
      </c>
      <c r="AM124" s="11">
        <f t="shared" si="71"/>
        <v>74.478999999999999</v>
      </c>
      <c r="AN124" s="11">
        <f t="shared" si="71"/>
        <v>74.478999999999999</v>
      </c>
      <c r="AO124" s="11">
        <f t="shared" si="71"/>
        <v>74.478999999999999</v>
      </c>
      <c r="AP124" s="11">
        <f t="shared" si="71"/>
        <v>74.478999999999999</v>
      </c>
      <c r="AQ124" s="11">
        <f t="shared" si="71"/>
        <v>74.478999999999999</v>
      </c>
      <c r="AR124" s="11">
        <f t="shared" si="71"/>
        <v>74.478999999999999</v>
      </c>
      <c r="AS124" s="11">
        <f t="shared" si="71"/>
        <v>74.478999999999999</v>
      </c>
      <c r="AT124" s="11">
        <f t="shared" si="71"/>
        <v>74.478999999999999</v>
      </c>
      <c r="AU124" s="11">
        <f t="shared" si="71"/>
        <v>74.478999999999999</v>
      </c>
      <c r="AV124" s="11">
        <f t="shared" ref="AE124:BA127" si="74">+AU124</f>
        <v>74.478999999999999</v>
      </c>
      <c r="AW124" s="11">
        <f t="shared" si="74"/>
        <v>74.478999999999999</v>
      </c>
      <c r="AX124" s="11">
        <f t="shared" si="74"/>
        <v>74.478999999999999</v>
      </c>
      <c r="AY124" s="11">
        <f t="shared" si="74"/>
        <v>74.478999999999999</v>
      </c>
      <c r="AZ124" s="11">
        <f t="shared" si="74"/>
        <v>74.478999999999999</v>
      </c>
      <c r="BA124" s="11">
        <f t="shared" si="74"/>
        <v>74.478999999999999</v>
      </c>
      <c r="BB124" s="8" t="s">
        <v>75</v>
      </c>
    </row>
    <row r="125" spans="2:54" x14ac:dyDescent="0.2">
      <c r="B125" s="19" t="s">
        <v>110</v>
      </c>
      <c r="C125" s="45" t="s">
        <v>187</v>
      </c>
      <c r="D125" s="19"/>
      <c r="E125" s="11"/>
      <c r="F125" s="11">
        <f t="shared" si="73"/>
        <v>2942.6239999999998</v>
      </c>
      <c r="G125" s="11">
        <f t="shared" si="73"/>
        <v>2928.4639999999999</v>
      </c>
      <c r="H125" s="11">
        <f t="shared" si="73"/>
        <v>3355.6039999999998</v>
      </c>
      <c r="I125" s="11">
        <f t="shared" ca="1" si="73"/>
        <v>3615.8654285714279</v>
      </c>
      <c r="J125" s="11">
        <f t="shared" ca="1" si="73"/>
        <v>3764.8768571428568</v>
      </c>
      <c r="K125" s="11">
        <f t="shared" ca="1" si="73"/>
        <v>3669.8623704687748</v>
      </c>
      <c r="L125" s="11">
        <f t="shared" ca="1" si="73"/>
        <v>3574.4331569434589</v>
      </c>
      <c r="M125" s="11">
        <f t="shared" ca="1" si="73"/>
        <v>3478.234823781967</v>
      </c>
      <c r="N125" s="11">
        <f t="shared" ca="1" si="73"/>
        <v>3380.2735306862869</v>
      </c>
      <c r="O125" s="11"/>
      <c r="P125" s="11"/>
      <c r="R125" s="12">
        <v>2822.056</v>
      </c>
      <c r="S125" s="12">
        <v>2972.4059999999999</v>
      </c>
      <c r="T125" s="12">
        <v>3019.76</v>
      </c>
      <c r="U125" s="12">
        <v>2942.6239999999998</v>
      </c>
      <c r="V125" s="12">
        <v>2937.2642897712562</v>
      </c>
      <c r="W125" s="12">
        <v>2902.5590000000002</v>
      </c>
      <c r="X125" s="12">
        <v>2981.3040000000001</v>
      </c>
      <c r="Y125" s="12">
        <v>2928.4639999999999</v>
      </c>
      <c r="Z125" s="12">
        <v>3261.6039999999998</v>
      </c>
      <c r="AA125" s="12">
        <v>3360.9690000000001</v>
      </c>
      <c r="AB125" s="12">
        <v>3411.9679999999998</v>
      </c>
      <c r="AC125" s="12">
        <v>3355.6039999999998</v>
      </c>
      <c r="AD125" s="11">
        <f t="shared" ref="AD125:BA125" ca="1" si="75">+AC125-AD76-AD47</f>
        <v>3462.0354285714284</v>
      </c>
      <c r="AE125" s="11">
        <f t="shared" ca="1" si="75"/>
        <v>3567.2882857142854</v>
      </c>
      <c r="AF125" s="11">
        <f t="shared" ca="1" si="75"/>
        <v>3606.8268571428566</v>
      </c>
      <c r="AG125" s="11">
        <f t="shared" ca="1" si="75"/>
        <v>3615.8654285714279</v>
      </c>
      <c r="AH125" s="11">
        <f t="shared" ca="1" si="75"/>
        <v>3654.1897142857138</v>
      </c>
      <c r="AI125" s="11">
        <f t="shared" ca="1" si="75"/>
        <v>3691.7997142857139</v>
      </c>
      <c r="AJ125" s="11">
        <f t="shared" ca="1" si="75"/>
        <v>3728.6954285714282</v>
      </c>
      <c r="AK125" s="11">
        <f t="shared" ca="1" si="75"/>
        <v>3764.8768571428568</v>
      </c>
      <c r="AL125" s="11">
        <f t="shared" ca="1" si="75"/>
        <v>3741.5603076535367</v>
      </c>
      <c r="AM125" s="11">
        <f t="shared" ca="1" si="75"/>
        <v>3717.9523767114165</v>
      </c>
      <c r="AN125" s="11">
        <f t="shared" ca="1" si="75"/>
        <v>3694.0530643164957</v>
      </c>
      <c r="AO125" s="11">
        <f t="shared" ca="1" si="75"/>
        <v>3669.8623704687748</v>
      </c>
      <c r="AP125" s="11">
        <f t="shared" ca="1" si="75"/>
        <v>3646.4537230204469</v>
      </c>
      <c r="AQ125" s="11">
        <f t="shared" ca="1" si="75"/>
        <v>3622.745971616785</v>
      </c>
      <c r="AR125" s="11">
        <f t="shared" ca="1" si="75"/>
        <v>3598.7391162577892</v>
      </c>
      <c r="AS125" s="11">
        <f t="shared" ca="1" si="75"/>
        <v>3574.4331569434589</v>
      </c>
      <c r="AT125" s="11">
        <f t="shared" ca="1" si="75"/>
        <v>3550.8431837960393</v>
      </c>
      <c r="AU125" s="11">
        <f t="shared" ca="1" si="75"/>
        <v>3526.9468038866507</v>
      </c>
      <c r="AV125" s="11">
        <f t="shared" ca="1" si="75"/>
        <v>3502.7440172152933</v>
      </c>
      <c r="AW125" s="11">
        <f t="shared" ca="1" si="75"/>
        <v>3478.234823781967</v>
      </c>
      <c r="AX125" s="11">
        <f t="shared" ca="1" si="75"/>
        <v>3454.2126730553387</v>
      </c>
      <c r="AY125" s="11">
        <f t="shared" ca="1" si="75"/>
        <v>3429.8784072971825</v>
      </c>
      <c r="AZ125" s="11">
        <f t="shared" ca="1" si="75"/>
        <v>3405.2320265074986</v>
      </c>
      <c r="BA125" s="11">
        <f t="shared" ca="1" si="75"/>
        <v>3380.2735306862869</v>
      </c>
      <c r="BB125" s="8" t="s">
        <v>75</v>
      </c>
    </row>
    <row r="126" spans="2:54" x14ac:dyDescent="0.2">
      <c r="B126" s="19" t="s">
        <v>111</v>
      </c>
      <c r="C126" s="45" t="s">
        <v>187</v>
      </c>
      <c r="D126" s="19"/>
      <c r="E126" s="11"/>
      <c r="F126" s="11">
        <f t="shared" si="73"/>
        <v>0</v>
      </c>
      <c r="G126" s="11">
        <f t="shared" si="73"/>
        <v>32.533999999999999</v>
      </c>
      <c r="H126" s="11">
        <f t="shared" si="73"/>
        <v>157.114</v>
      </c>
      <c r="I126" s="11">
        <f t="shared" si="73"/>
        <v>157.114</v>
      </c>
      <c r="J126" s="11">
        <f t="shared" si="73"/>
        <v>157.114</v>
      </c>
      <c r="K126" s="11">
        <f t="shared" si="73"/>
        <v>157.114</v>
      </c>
      <c r="L126" s="11">
        <f t="shared" si="73"/>
        <v>157.114</v>
      </c>
      <c r="M126" s="11">
        <f t="shared" si="73"/>
        <v>157.114</v>
      </c>
      <c r="N126" s="11">
        <f t="shared" si="73"/>
        <v>157.114</v>
      </c>
      <c r="O126" s="11"/>
      <c r="P126" s="11"/>
      <c r="R126" s="12">
        <v>0</v>
      </c>
      <c r="S126" s="12">
        <v>0</v>
      </c>
      <c r="T126" s="12">
        <v>0</v>
      </c>
      <c r="U126" s="12">
        <v>0</v>
      </c>
      <c r="V126" s="12">
        <v>33.18742680496306</v>
      </c>
      <c r="W126" s="12">
        <v>32.072000000000003</v>
      </c>
      <c r="X126" s="12">
        <v>34.354999999999997</v>
      </c>
      <c r="Y126" s="12">
        <v>32.533999999999999</v>
      </c>
      <c r="Z126" s="12">
        <v>32.159999999999997</v>
      </c>
      <c r="AA126" s="12">
        <v>30.651</v>
      </c>
      <c r="AB126" s="12">
        <v>31.687999999999999</v>
      </c>
      <c r="AC126" s="12">
        <v>157.114</v>
      </c>
      <c r="AD126" s="11">
        <f>+AC126</f>
        <v>157.114</v>
      </c>
      <c r="AE126" s="11">
        <f t="shared" si="74"/>
        <v>157.114</v>
      </c>
      <c r="AF126" s="11">
        <f t="shared" si="74"/>
        <v>157.114</v>
      </c>
      <c r="AG126" s="11">
        <f t="shared" si="74"/>
        <v>157.114</v>
      </c>
      <c r="AH126" s="11">
        <f t="shared" si="74"/>
        <v>157.114</v>
      </c>
      <c r="AI126" s="11">
        <f t="shared" si="74"/>
        <v>157.114</v>
      </c>
      <c r="AJ126" s="11">
        <f t="shared" si="74"/>
        <v>157.114</v>
      </c>
      <c r="AK126" s="11">
        <f t="shared" si="74"/>
        <v>157.114</v>
      </c>
      <c r="AL126" s="11">
        <f t="shared" si="74"/>
        <v>157.114</v>
      </c>
      <c r="AM126" s="11">
        <f t="shared" si="74"/>
        <v>157.114</v>
      </c>
      <c r="AN126" s="11">
        <f t="shared" si="74"/>
        <v>157.114</v>
      </c>
      <c r="AO126" s="11">
        <f t="shared" si="74"/>
        <v>157.114</v>
      </c>
      <c r="AP126" s="11">
        <f t="shared" si="74"/>
        <v>157.114</v>
      </c>
      <c r="AQ126" s="11">
        <f t="shared" si="74"/>
        <v>157.114</v>
      </c>
      <c r="AR126" s="11">
        <f t="shared" si="74"/>
        <v>157.114</v>
      </c>
      <c r="AS126" s="11">
        <f t="shared" si="74"/>
        <v>157.114</v>
      </c>
      <c r="AT126" s="11">
        <f t="shared" si="74"/>
        <v>157.114</v>
      </c>
      <c r="AU126" s="11">
        <f t="shared" si="74"/>
        <v>157.114</v>
      </c>
      <c r="AV126" s="11">
        <f t="shared" si="74"/>
        <v>157.114</v>
      </c>
      <c r="AW126" s="11">
        <f t="shared" si="74"/>
        <v>157.114</v>
      </c>
      <c r="AX126" s="11">
        <f t="shared" si="74"/>
        <v>157.114</v>
      </c>
      <c r="AY126" s="11">
        <f t="shared" si="74"/>
        <v>157.114</v>
      </c>
      <c r="AZ126" s="11">
        <f t="shared" si="74"/>
        <v>157.114</v>
      </c>
      <c r="BA126" s="11">
        <f t="shared" si="74"/>
        <v>157.114</v>
      </c>
      <c r="BB126" s="8" t="s">
        <v>75</v>
      </c>
    </row>
    <row r="127" spans="2:54" x14ac:dyDescent="0.2">
      <c r="B127" s="19" t="s">
        <v>112</v>
      </c>
      <c r="C127" s="45" t="s">
        <v>187</v>
      </c>
      <c r="D127" s="19"/>
      <c r="E127" s="11"/>
      <c r="F127" s="11">
        <f t="shared" si="73"/>
        <v>263.74799999999999</v>
      </c>
      <c r="G127" s="11">
        <f t="shared" si="73"/>
        <v>228.12899999999999</v>
      </c>
      <c r="H127" s="11">
        <f t="shared" si="73"/>
        <v>322.91500000000002</v>
      </c>
      <c r="I127" s="11">
        <f t="shared" si="73"/>
        <v>322.91500000000002</v>
      </c>
      <c r="J127" s="11">
        <f t="shared" si="73"/>
        <v>322.91500000000002</v>
      </c>
      <c r="K127" s="11">
        <f t="shared" si="73"/>
        <v>322.91500000000002</v>
      </c>
      <c r="L127" s="11">
        <f t="shared" si="73"/>
        <v>322.91500000000002</v>
      </c>
      <c r="M127" s="11">
        <f t="shared" si="73"/>
        <v>322.91500000000002</v>
      </c>
      <c r="N127" s="11">
        <f t="shared" si="73"/>
        <v>322.91500000000002</v>
      </c>
      <c r="O127" s="11"/>
      <c r="P127" s="11"/>
      <c r="R127" s="12">
        <v>264.00799999999998</v>
      </c>
      <c r="S127" s="12">
        <v>264.334</v>
      </c>
      <c r="T127" s="12">
        <v>261.76</v>
      </c>
      <c r="U127" s="12">
        <v>263.74799999999999</v>
      </c>
      <c r="V127" s="12">
        <v>260.09749130676198</v>
      </c>
      <c r="W127" s="12">
        <v>256.25299999999999</v>
      </c>
      <c r="X127" s="12">
        <v>254.55600000000001</v>
      </c>
      <c r="Y127" s="12">
        <v>228.12899999999999</v>
      </c>
      <c r="Z127" s="12">
        <v>340.63400000000001</v>
      </c>
      <c r="AA127" s="12">
        <v>340.38299999999998</v>
      </c>
      <c r="AB127" s="12">
        <v>339.76499999999999</v>
      </c>
      <c r="AC127" s="12">
        <v>322.91500000000002</v>
      </c>
      <c r="AD127" s="11">
        <f>+AC127</f>
        <v>322.91500000000002</v>
      </c>
      <c r="AE127" s="11">
        <f t="shared" si="74"/>
        <v>322.91500000000002</v>
      </c>
      <c r="AF127" s="11">
        <f t="shared" si="74"/>
        <v>322.91500000000002</v>
      </c>
      <c r="AG127" s="11">
        <f t="shared" si="74"/>
        <v>322.91500000000002</v>
      </c>
      <c r="AH127" s="11">
        <f t="shared" si="74"/>
        <v>322.91500000000002</v>
      </c>
      <c r="AI127" s="11">
        <f t="shared" si="74"/>
        <v>322.91500000000002</v>
      </c>
      <c r="AJ127" s="11">
        <f t="shared" si="74"/>
        <v>322.91500000000002</v>
      </c>
      <c r="AK127" s="11">
        <f t="shared" si="74"/>
        <v>322.91500000000002</v>
      </c>
      <c r="AL127" s="11">
        <f t="shared" si="74"/>
        <v>322.91500000000002</v>
      </c>
      <c r="AM127" s="11">
        <f t="shared" si="74"/>
        <v>322.91500000000002</v>
      </c>
      <c r="AN127" s="11">
        <f t="shared" si="74"/>
        <v>322.91500000000002</v>
      </c>
      <c r="AO127" s="11">
        <f t="shared" si="74"/>
        <v>322.91500000000002</v>
      </c>
      <c r="AP127" s="11">
        <f t="shared" si="74"/>
        <v>322.91500000000002</v>
      </c>
      <c r="AQ127" s="11">
        <f t="shared" si="74"/>
        <v>322.91500000000002</v>
      </c>
      <c r="AR127" s="11">
        <f t="shared" si="74"/>
        <v>322.91500000000002</v>
      </c>
      <c r="AS127" s="11">
        <f t="shared" si="74"/>
        <v>322.91500000000002</v>
      </c>
      <c r="AT127" s="11">
        <f t="shared" si="74"/>
        <v>322.91500000000002</v>
      </c>
      <c r="AU127" s="11">
        <f t="shared" si="74"/>
        <v>322.91500000000002</v>
      </c>
      <c r="AV127" s="11">
        <f t="shared" si="74"/>
        <v>322.91500000000002</v>
      </c>
      <c r="AW127" s="11">
        <f t="shared" si="74"/>
        <v>322.91500000000002</v>
      </c>
      <c r="AX127" s="11">
        <f t="shared" si="74"/>
        <v>322.91500000000002</v>
      </c>
      <c r="AY127" s="11">
        <f t="shared" si="74"/>
        <v>322.91500000000002</v>
      </c>
      <c r="AZ127" s="11">
        <f t="shared" si="74"/>
        <v>322.91500000000002</v>
      </c>
      <c r="BA127" s="11">
        <f t="shared" si="74"/>
        <v>322.91500000000002</v>
      </c>
      <c r="BB127" s="8" t="s">
        <v>75</v>
      </c>
    </row>
    <row r="128" spans="2:54" x14ac:dyDescent="0.2">
      <c r="B128" s="2" t="s">
        <v>89</v>
      </c>
      <c r="C128" s="45" t="s">
        <v>187</v>
      </c>
      <c r="D128" s="2"/>
      <c r="E128" s="11"/>
      <c r="F128" s="13">
        <f t="shared" si="73"/>
        <v>3351.6459999999997</v>
      </c>
      <c r="G128" s="13">
        <f t="shared" si="73"/>
        <v>3471.2710000000002</v>
      </c>
      <c r="H128" s="13">
        <f t="shared" si="73"/>
        <v>4286.9859999999999</v>
      </c>
      <c r="I128" s="13">
        <f t="shared" ca="1" si="73"/>
        <v>4547.2474285714279</v>
      </c>
      <c r="J128" s="13">
        <f t="shared" ca="1" si="73"/>
        <v>4696.258857142856</v>
      </c>
      <c r="K128" s="13">
        <f t="shared" ca="1" si="73"/>
        <v>4601.2443704687739</v>
      </c>
      <c r="L128" s="13">
        <f t="shared" ca="1" si="73"/>
        <v>4505.8151569434585</v>
      </c>
      <c r="M128" s="13">
        <f t="shared" ca="1" si="73"/>
        <v>4409.6168237819675</v>
      </c>
      <c r="N128" s="13">
        <f t="shared" ca="1" si="73"/>
        <v>4311.6555306862874</v>
      </c>
      <c r="O128" s="13"/>
      <c r="P128" s="13"/>
      <c r="R128" s="13">
        <f t="shared" ref="R128:AB128" si="76">+SUM(R113:R127)</f>
        <v>3211.3869999999997</v>
      </c>
      <c r="S128" s="13">
        <f t="shared" si="76"/>
        <v>3358.0629999999996</v>
      </c>
      <c r="T128" s="13">
        <f t="shared" si="76"/>
        <v>3420.3990000000003</v>
      </c>
      <c r="U128" s="13">
        <f t="shared" si="76"/>
        <v>3351.6459999999997</v>
      </c>
      <c r="V128" s="13">
        <f t="shared" si="76"/>
        <v>3381.6560672398396</v>
      </c>
      <c r="W128" s="13">
        <f t="shared" si="76"/>
        <v>3366.6110000000003</v>
      </c>
      <c r="X128" s="13">
        <f t="shared" si="76"/>
        <v>3482.096</v>
      </c>
      <c r="Y128" s="13">
        <f t="shared" si="76"/>
        <v>3471.2710000000002</v>
      </c>
      <c r="Z128" s="13">
        <f t="shared" si="76"/>
        <v>4027.8199999999997</v>
      </c>
      <c r="AA128" s="13">
        <f t="shared" si="76"/>
        <v>4174.7439999999997</v>
      </c>
      <c r="AB128" s="13">
        <f t="shared" si="76"/>
        <v>4271.260085705776</v>
      </c>
      <c r="AC128" s="13">
        <f>+SUM(AC113:AC127)</f>
        <v>4286.9859999999999</v>
      </c>
      <c r="AD128" s="13">
        <f ca="1">+SUM(AD113:AD127)</f>
        <v>4393.4174285714289</v>
      </c>
      <c r="AE128" s="13">
        <f t="shared" ref="AE128:BA128" ca="1" si="77">+SUM(AE113:AE127)</f>
        <v>4498.6702857142855</v>
      </c>
      <c r="AF128" s="13">
        <f t="shared" ca="1" si="77"/>
        <v>4538.2088571428567</v>
      </c>
      <c r="AG128" s="13">
        <f t="shared" ca="1" si="77"/>
        <v>4547.2474285714279</v>
      </c>
      <c r="AH128" s="13">
        <f t="shared" ca="1" si="77"/>
        <v>4585.5717142857129</v>
      </c>
      <c r="AI128" s="13">
        <f t="shared" ca="1" si="77"/>
        <v>4623.1817142857135</v>
      </c>
      <c r="AJ128" s="13">
        <f t="shared" ca="1" si="77"/>
        <v>4660.0774285714278</v>
      </c>
      <c r="AK128" s="13">
        <f t="shared" ca="1" si="77"/>
        <v>4696.258857142856</v>
      </c>
      <c r="AL128" s="13">
        <f t="shared" ca="1" si="77"/>
        <v>4672.9423076535359</v>
      </c>
      <c r="AM128" s="13">
        <f t="shared" ca="1" si="77"/>
        <v>4649.3343767114156</v>
      </c>
      <c r="AN128" s="13">
        <f t="shared" ca="1" si="77"/>
        <v>4625.4350643164953</v>
      </c>
      <c r="AO128" s="13">
        <f t="shared" ca="1" si="77"/>
        <v>4601.2443704687739</v>
      </c>
      <c r="AP128" s="13">
        <f t="shared" ca="1" si="77"/>
        <v>4577.8357230204465</v>
      </c>
      <c r="AQ128" s="13">
        <f t="shared" ca="1" si="77"/>
        <v>4554.1279716167846</v>
      </c>
      <c r="AR128" s="13">
        <f t="shared" ca="1" si="77"/>
        <v>4530.1211162577893</v>
      </c>
      <c r="AS128" s="13">
        <f t="shared" ca="1" si="77"/>
        <v>4505.8151569434585</v>
      </c>
      <c r="AT128" s="13">
        <f t="shared" ca="1" si="77"/>
        <v>4482.2251837960393</v>
      </c>
      <c r="AU128" s="13">
        <f t="shared" ca="1" si="77"/>
        <v>4458.3288038866503</v>
      </c>
      <c r="AV128" s="13">
        <f t="shared" ca="1" si="77"/>
        <v>4434.1260172152934</v>
      </c>
      <c r="AW128" s="13">
        <f t="shared" ca="1" si="77"/>
        <v>4409.6168237819675</v>
      </c>
      <c r="AX128" s="13">
        <f t="shared" ca="1" si="77"/>
        <v>4385.5946730553387</v>
      </c>
      <c r="AY128" s="13">
        <f t="shared" ca="1" si="77"/>
        <v>4361.2604072971826</v>
      </c>
      <c r="AZ128" s="13">
        <f t="shared" ca="1" si="77"/>
        <v>4336.6140265074991</v>
      </c>
      <c r="BA128" s="13">
        <f t="shared" ca="1" si="77"/>
        <v>4311.6555306862874</v>
      </c>
      <c r="BB128" s="8" t="s">
        <v>75</v>
      </c>
    </row>
    <row r="129" spans="2:54" x14ac:dyDescent="0.2">
      <c r="E129" s="11"/>
      <c r="BB129" s="8" t="s">
        <v>75</v>
      </c>
    </row>
    <row r="130" spans="2:54" s="2" customFormat="1" x14ac:dyDescent="0.2">
      <c r="B130" s="2" t="s">
        <v>90</v>
      </c>
      <c r="C130" s="45" t="s">
        <v>187</v>
      </c>
      <c r="E130" s="11"/>
      <c r="F130" s="13">
        <f t="shared" ref="F130:N130" si="78">+SUMIFS(130:130,$3:$3,"4Q"&amp;RIGHT(F$3,2))</f>
        <v>4771.5463529099998</v>
      </c>
      <c r="G130" s="13">
        <f t="shared" si="78"/>
        <v>4717.665</v>
      </c>
      <c r="H130" s="13">
        <f t="shared" si="78"/>
        <v>5714.4970000000003</v>
      </c>
      <c r="I130" s="13">
        <f t="shared" ca="1" si="78"/>
        <v>5926.99957622687</v>
      </c>
      <c r="J130" s="13">
        <f t="shared" ca="1" si="78"/>
        <v>6124.8407612857045</v>
      </c>
      <c r="K130" s="13">
        <f t="shared" ca="1" si="78"/>
        <v>6135.9361850332434</v>
      </c>
      <c r="L130" s="13">
        <f t="shared" ca="1" si="78"/>
        <v>6083.2620933348244</v>
      </c>
      <c r="M130" s="13">
        <f t="shared" ca="1" si="78"/>
        <v>5998.5327750285405</v>
      </c>
      <c r="N130" s="13">
        <f t="shared" ca="1" si="78"/>
        <v>5924.1534926667555</v>
      </c>
      <c r="O130" s="13"/>
      <c r="P130" s="13"/>
      <c r="R130" s="13">
        <f>+R128+R111</f>
        <v>4045.0939999999996</v>
      </c>
      <c r="S130" s="13">
        <f t="shared" ref="S130:AD130" si="79">+S128+S111</f>
        <v>4567.2259999999997</v>
      </c>
      <c r="T130" s="13">
        <f t="shared" si="79"/>
        <v>4647.4639999999999</v>
      </c>
      <c r="U130" s="13">
        <f t="shared" si="79"/>
        <v>4771.5463529099998</v>
      </c>
      <c r="V130" s="13">
        <f t="shared" si="79"/>
        <v>4734.7345625201588</v>
      </c>
      <c r="W130" s="13">
        <f t="shared" si="79"/>
        <v>4580.8060000000005</v>
      </c>
      <c r="X130" s="13">
        <f t="shared" si="79"/>
        <v>4821.8530000000001</v>
      </c>
      <c r="Y130" s="13">
        <f t="shared" si="79"/>
        <v>4717.665</v>
      </c>
      <c r="Z130" s="13">
        <f t="shared" si="79"/>
        <v>5475.0439999999999</v>
      </c>
      <c r="AA130" s="13">
        <f t="shared" si="79"/>
        <v>5698.9169999999995</v>
      </c>
      <c r="AB130" s="13">
        <f t="shared" si="79"/>
        <v>5813.4479488891011</v>
      </c>
      <c r="AC130" s="13">
        <f t="shared" si="79"/>
        <v>5714.4970000000003</v>
      </c>
      <c r="AD130" s="13">
        <f t="shared" ca="1" si="79"/>
        <v>5740.7501804736548</v>
      </c>
      <c r="AE130" s="13">
        <f t="shared" ref="AE130:BA130" ca="1" si="80">+AE128+AE111</f>
        <v>5851.0532425450183</v>
      </c>
      <c r="AF130" s="13">
        <f t="shared" ca="1" si="80"/>
        <v>5947.6803364484585</v>
      </c>
      <c r="AG130" s="13">
        <f t="shared" ca="1" si="80"/>
        <v>5926.99957622687</v>
      </c>
      <c r="AH130" s="13">
        <f t="shared" ca="1" si="80"/>
        <v>5997.9361493330771</v>
      </c>
      <c r="AI130" s="13">
        <f t="shared" ca="1" si="80"/>
        <v>6149.1269275999102</v>
      </c>
      <c r="AJ130" s="13">
        <f t="shared" ca="1" si="80"/>
        <v>6201.6854829096083</v>
      </c>
      <c r="AK130" s="13">
        <f t="shared" ca="1" si="80"/>
        <v>6124.8407612857045</v>
      </c>
      <c r="AL130" s="13">
        <f t="shared" ca="1" si="80"/>
        <v>6124.2549603678399</v>
      </c>
      <c r="AM130" s="13">
        <f t="shared" ca="1" si="80"/>
        <v>6220.6819571803208</v>
      </c>
      <c r="AN130" s="13">
        <f t="shared" ca="1" si="80"/>
        <v>6249.7031673821266</v>
      </c>
      <c r="AO130" s="13">
        <f t="shared" ca="1" si="80"/>
        <v>6135.9361850332434</v>
      </c>
      <c r="AP130" s="13">
        <f t="shared" ca="1" si="80"/>
        <v>6113.9957336658472</v>
      </c>
      <c r="AQ130" s="13">
        <f t="shared" ca="1" si="80"/>
        <v>6205.4454156290858</v>
      </c>
      <c r="AR130" s="13">
        <f t="shared" ca="1" si="80"/>
        <v>6223.5085253676716</v>
      </c>
      <c r="AS130" s="13">
        <f t="shared" ca="1" si="80"/>
        <v>6083.2620933348244</v>
      </c>
      <c r="AT130" s="13">
        <f t="shared" ca="1" si="80"/>
        <v>6040.6441987107337</v>
      </c>
      <c r="AU130" s="13">
        <f t="shared" ca="1" si="80"/>
        <v>6124.444219443234</v>
      </c>
      <c r="AV130" s="13">
        <f t="shared" ca="1" si="80"/>
        <v>6149.5669518872219</v>
      </c>
      <c r="AW130" s="13">
        <f t="shared" ca="1" si="80"/>
        <v>5998.5327750285405</v>
      </c>
      <c r="AX130" s="13">
        <f t="shared" ca="1" si="80"/>
        <v>5953.7510431919554</v>
      </c>
      <c r="AY130" s="13">
        <f t="shared" ca="1" si="80"/>
        <v>6051.6117074917147</v>
      </c>
      <c r="AZ130" s="13">
        <f t="shared" ca="1" si="80"/>
        <v>6085.4669725875046</v>
      </c>
      <c r="BA130" s="13">
        <f t="shared" ca="1" si="80"/>
        <v>5924.1534926667555</v>
      </c>
      <c r="BB130" s="83" t="s">
        <v>75</v>
      </c>
    </row>
    <row r="131" spans="2:54" x14ac:dyDescent="0.2">
      <c r="E131" s="11"/>
      <c r="R131" s="163"/>
      <c r="S131" s="163"/>
      <c r="T131" s="163"/>
      <c r="U131" s="163"/>
      <c r="V131" s="163"/>
      <c r="W131" s="163"/>
      <c r="X131" s="163"/>
      <c r="Y131" s="163"/>
      <c r="Z131" s="163"/>
      <c r="AA131" s="163"/>
      <c r="AB131" s="163"/>
      <c r="AC131" s="163"/>
      <c r="BB131" s="8" t="s">
        <v>75</v>
      </c>
    </row>
    <row r="132" spans="2:54" x14ac:dyDescent="0.2">
      <c r="B132" s="1" t="s">
        <v>91</v>
      </c>
      <c r="C132" s="45" t="s">
        <v>187</v>
      </c>
      <c r="E132" s="11"/>
      <c r="AD132" s="11"/>
      <c r="BB132" s="8" t="s">
        <v>75</v>
      </c>
    </row>
    <row r="133" spans="2:54" x14ac:dyDescent="0.2">
      <c r="B133" s="19" t="s">
        <v>113</v>
      </c>
      <c r="C133" s="45" t="s">
        <v>187</v>
      </c>
      <c r="D133" s="19"/>
      <c r="E133" s="11"/>
      <c r="F133" s="11">
        <f t="shared" ref="F133:N145" si="81">+SUMIFS(133:133,$3:$3,"4Q"&amp;RIGHT(F$3,2))</f>
        <v>77.781999999999996</v>
      </c>
      <c r="G133" s="11">
        <f t="shared" si="81"/>
        <v>49.945</v>
      </c>
      <c r="H133" s="11">
        <f t="shared" si="81"/>
        <v>68.506</v>
      </c>
      <c r="I133" s="11">
        <f t="shared" ca="1" si="81"/>
        <v>60.153291115688603</v>
      </c>
      <c r="J133" s="11">
        <f t="shared" ca="1" si="81"/>
        <v>67.784106796609308</v>
      </c>
      <c r="K133" s="11">
        <f t="shared" ca="1" si="81"/>
        <v>73.073281647929278</v>
      </c>
      <c r="L133" s="11">
        <f t="shared" ca="1" si="81"/>
        <v>78.899782900799394</v>
      </c>
      <c r="M133" s="11">
        <f t="shared" ca="1" si="81"/>
        <v>85.322377642968377</v>
      </c>
      <c r="N133" s="11">
        <f t="shared" ca="1" si="81"/>
        <v>92.154553192804755</v>
      </c>
      <c r="O133" s="11"/>
      <c r="P133" s="11"/>
      <c r="R133" s="12">
        <v>51.808999999999997</v>
      </c>
      <c r="S133" s="12">
        <v>67.084000000000003</v>
      </c>
      <c r="T133" s="12">
        <v>80.278999999999996</v>
      </c>
      <c r="U133" s="12">
        <v>77.781999999999996</v>
      </c>
      <c r="V133" s="12">
        <v>92.364114577625998</v>
      </c>
      <c r="W133" s="12">
        <v>53.502000000000002</v>
      </c>
      <c r="X133" s="12">
        <v>64.86</v>
      </c>
      <c r="Y133" s="12">
        <v>49.945</v>
      </c>
      <c r="Z133" s="12">
        <v>114.16695173854401</v>
      </c>
      <c r="AA133" s="12">
        <v>113.646</v>
      </c>
      <c r="AB133" s="12">
        <v>92.793999999999997</v>
      </c>
      <c r="AC133" s="12">
        <v>68.506</v>
      </c>
      <c r="AD133" s="11">
        <f t="shared" ref="AD133:BA133" ca="1" si="82">+AD$8/(AD$5-AD$4)*AD$172</f>
        <v>66.1796444168058</v>
      </c>
      <c r="AE133" s="11">
        <f t="shared" ca="1" si="82"/>
        <v>86.25834723227257</v>
      </c>
      <c r="AF133" s="11">
        <f t="shared" ca="1" si="82"/>
        <v>83.268822626497339</v>
      </c>
      <c r="AG133" s="11">
        <f t="shared" ca="1" si="82"/>
        <v>60.153291115688603</v>
      </c>
      <c r="AH133" s="11">
        <f t="shared" ca="1" si="82"/>
        <v>74.502034080178689</v>
      </c>
      <c r="AI133" s="11">
        <f t="shared" ca="1" si="82"/>
        <v>97.108029624058645</v>
      </c>
      <c r="AJ133" s="11">
        <f t="shared" ca="1" si="82"/>
        <v>93.757120516143971</v>
      </c>
      <c r="AK133" s="11">
        <f t="shared" ca="1" si="82"/>
        <v>67.784106796609308</v>
      </c>
      <c r="AL133" s="11">
        <f t="shared" ca="1" si="82"/>
        <v>80.458528907328287</v>
      </c>
      <c r="AM133" s="11">
        <f t="shared" ca="1" si="82"/>
        <v>105.84929393784067</v>
      </c>
      <c r="AN133" s="11">
        <f t="shared" ca="1" si="82"/>
        <v>102.17372040133974</v>
      </c>
      <c r="AO133" s="11">
        <f t="shared" ca="1" si="82"/>
        <v>73.073281647929278</v>
      </c>
      <c r="AP133" s="11">
        <f t="shared" ca="1" si="82"/>
        <v>86.059575295855254</v>
      </c>
      <c r="AQ133" s="11">
        <f t="shared" ca="1" si="82"/>
        <v>115.53623732704567</v>
      </c>
      <c r="AR133" s="11">
        <f t="shared" ca="1" si="82"/>
        <v>111.50227310475178</v>
      </c>
      <c r="AS133" s="11">
        <f t="shared" ca="1" si="82"/>
        <v>78.899782900799394</v>
      </c>
      <c r="AT133" s="11">
        <f t="shared" ca="1" si="82"/>
        <v>94.273161879474259</v>
      </c>
      <c r="AU133" s="11">
        <f t="shared" ca="1" si="82"/>
        <v>126.27460944369791</v>
      </c>
      <c r="AV133" s="11">
        <f t="shared" ca="1" si="82"/>
        <v>121.84493830084654</v>
      </c>
      <c r="AW133" s="11">
        <f t="shared" ca="1" si="82"/>
        <v>85.322377642968377</v>
      </c>
      <c r="AX133" s="11">
        <f t="shared" ca="1" si="82"/>
        <v>101.98448861999287</v>
      </c>
      <c r="AY133" s="11">
        <f t="shared" ca="1" si="82"/>
        <v>137.71898051730554</v>
      </c>
      <c r="AZ133" s="11">
        <f t="shared" ca="1" si="82"/>
        <v>132.86668311041041</v>
      </c>
      <c r="BA133" s="11">
        <f t="shared" ca="1" si="82"/>
        <v>92.154553192804755</v>
      </c>
      <c r="BB133" s="8" t="s">
        <v>75</v>
      </c>
    </row>
    <row r="134" spans="2:54" x14ac:dyDescent="0.2">
      <c r="B134" s="19" t="s">
        <v>114</v>
      </c>
      <c r="C134" s="45" t="s">
        <v>187</v>
      </c>
      <c r="D134" s="19"/>
      <c r="E134" s="11"/>
      <c r="F134" s="11">
        <f t="shared" si="81"/>
        <v>0</v>
      </c>
      <c r="G134" s="11">
        <f t="shared" si="81"/>
        <v>0</v>
      </c>
      <c r="H134" s="11">
        <f t="shared" si="81"/>
        <v>0</v>
      </c>
      <c r="I134" s="11">
        <f t="shared" si="81"/>
        <v>0</v>
      </c>
      <c r="J134" s="11">
        <f t="shared" si="81"/>
        <v>0</v>
      </c>
      <c r="K134" s="11">
        <f t="shared" si="81"/>
        <v>0</v>
      </c>
      <c r="L134" s="11">
        <f t="shared" si="81"/>
        <v>0</v>
      </c>
      <c r="M134" s="11">
        <f t="shared" si="81"/>
        <v>0</v>
      </c>
      <c r="N134" s="11">
        <f t="shared" si="81"/>
        <v>0</v>
      </c>
      <c r="O134" s="11"/>
      <c r="P134" s="11"/>
      <c r="R134" s="12">
        <v>39.073</v>
      </c>
      <c r="S134" s="12">
        <v>19.378</v>
      </c>
      <c r="T134" s="12">
        <v>0.91500000000000004</v>
      </c>
      <c r="U134" s="12">
        <v>0</v>
      </c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1">
        <f t="shared" ref="AD134:AD144" si="83">+AC134</f>
        <v>0</v>
      </c>
      <c r="AE134" s="11">
        <f t="shared" ref="AE134:BA144" si="84">+AD134</f>
        <v>0</v>
      </c>
      <c r="AF134" s="11">
        <f t="shared" si="84"/>
        <v>0</v>
      </c>
      <c r="AG134" s="11">
        <f t="shared" si="84"/>
        <v>0</v>
      </c>
      <c r="AH134" s="11">
        <f t="shared" si="84"/>
        <v>0</v>
      </c>
      <c r="AI134" s="11">
        <f t="shared" si="84"/>
        <v>0</v>
      </c>
      <c r="AJ134" s="11">
        <f t="shared" si="84"/>
        <v>0</v>
      </c>
      <c r="AK134" s="11">
        <f t="shared" si="84"/>
        <v>0</v>
      </c>
      <c r="AL134" s="11">
        <f t="shared" si="84"/>
        <v>0</v>
      </c>
      <c r="AM134" s="11">
        <f t="shared" si="84"/>
        <v>0</v>
      </c>
      <c r="AN134" s="11">
        <f t="shared" si="84"/>
        <v>0</v>
      </c>
      <c r="AO134" s="11">
        <f t="shared" si="84"/>
        <v>0</v>
      </c>
      <c r="AP134" s="11">
        <f t="shared" si="84"/>
        <v>0</v>
      </c>
      <c r="AQ134" s="11">
        <f t="shared" si="84"/>
        <v>0</v>
      </c>
      <c r="AR134" s="11">
        <f t="shared" si="84"/>
        <v>0</v>
      </c>
      <c r="AS134" s="11">
        <f t="shared" si="84"/>
        <v>0</v>
      </c>
      <c r="AT134" s="11">
        <f t="shared" si="84"/>
        <v>0</v>
      </c>
      <c r="AU134" s="11">
        <f t="shared" si="84"/>
        <v>0</v>
      </c>
      <c r="AV134" s="11">
        <f t="shared" si="84"/>
        <v>0</v>
      </c>
      <c r="AW134" s="11">
        <f t="shared" si="84"/>
        <v>0</v>
      </c>
      <c r="AX134" s="11">
        <f t="shared" si="84"/>
        <v>0</v>
      </c>
      <c r="AY134" s="11">
        <f t="shared" si="84"/>
        <v>0</v>
      </c>
      <c r="AZ134" s="11">
        <f t="shared" si="84"/>
        <v>0</v>
      </c>
      <c r="BA134" s="11">
        <f t="shared" si="84"/>
        <v>0</v>
      </c>
      <c r="BB134" s="8" t="s">
        <v>75</v>
      </c>
    </row>
    <row r="135" spans="2:54" x14ac:dyDescent="0.2">
      <c r="B135" s="19" t="s">
        <v>115</v>
      </c>
      <c r="C135" s="45" t="s">
        <v>187</v>
      </c>
      <c r="D135" s="19"/>
      <c r="E135" s="11"/>
      <c r="F135" s="11">
        <f t="shared" si="81"/>
        <v>195.28299999999999</v>
      </c>
      <c r="G135" s="11">
        <f t="shared" si="81"/>
        <v>172.27500000000001</v>
      </c>
      <c r="H135" s="11">
        <f t="shared" si="81"/>
        <v>185.95400000000001</v>
      </c>
      <c r="I135" s="11">
        <f t="shared" si="81"/>
        <v>185.95400000000001</v>
      </c>
      <c r="J135" s="11">
        <f t="shared" si="81"/>
        <v>185.95400000000001</v>
      </c>
      <c r="K135" s="11">
        <f t="shared" si="81"/>
        <v>185.95400000000001</v>
      </c>
      <c r="L135" s="11">
        <f t="shared" si="81"/>
        <v>185.95400000000001</v>
      </c>
      <c r="M135" s="11">
        <f t="shared" si="81"/>
        <v>185.95400000000001</v>
      </c>
      <c r="N135" s="11">
        <f t="shared" si="81"/>
        <v>185.95400000000001</v>
      </c>
      <c r="O135" s="11"/>
      <c r="P135" s="11"/>
      <c r="R135" s="12">
        <v>140.75299999999999</v>
      </c>
      <c r="S135" s="12">
        <v>162.495</v>
      </c>
      <c r="T135" s="12">
        <v>121.35599999999999</v>
      </c>
      <c r="U135" s="12">
        <v>195.28299999999999</v>
      </c>
      <c r="V135" s="12">
        <v>130.44427314551899</v>
      </c>
      <c r="W135" s="12">
        <v>103.98</v>
      </c>
      <c r="X135" s="12">
        <v>83.114000000000004</v>
      </c>
      <c r="Y135" s="12">
        <v>172.27500000000001</v>
      </c>
      <c r="Z135" s="12">
        <v>171.72200000000001</v>
      </c>
      <c r="AA135" s="12">
        <v>199.142</v>
      </c>
      <c r="AB135" s="12">
        <v>113.82899999999999</v>
      </c>
      <c r="AC135" s="12">
        <v>185.95400000000001</v>
      </c>
      <c r="AD135" s="166">
        <f>+SUMIFS(Debt!$17:$17,Debt!$3:$3,AD$3)</f>
        <v>185.95400000000001</v>
      </c>
      <c r="AE135" s="166">
        <f>+SUMIFS(Debt!$17:$17,Debt!$3:$3,AE$3)</f>
        <v>185.95400000000001</v>
      </c>
      <c r="AF135" s="166">
        <f>+SUMIFS(Debt!$17:$17,Debt!$3:$3,AF$3)</f>
        <v>185.95400000000001</v>
      </c>
      <c r="AG135" s="166">
        <f>+SUMIFS(Debt!$17:$17,Debt!$3:$3,AG$3)</f>
        <v>185.95400000000001</v>
      </c>
      <c r="AH135" s="166">
        <f>+SUMIFS(Debt!$17:$17,Debt!$3:$3,AH$3)</f>
        <v>185.95400000000001</v>
      </c>
      <c r="AI135" s="166">
        <f>+SUMIFS(Debt!$17:$17,Debt!$3:$3,AI$3)</f>
        <v>185.95400000000001</v>
      </c>
      <c r="AJ135" s="166">
        <f>+SUMIFS(Debt!$17:$17,Debt!$3:$3,AJ$3)</f>
        <v>185.95400000000001</v>
      </c>
      <c r="AK135" s="166">
        <f>+SUMIFS(Debt!$17:$17,Debt!$3:$3,AK$3)</f>
        <v>185.95400000000001</v>
      </c>
      <c r="AL135" s="166">
        <f>+SUMIFS(Debt!$17:$17,Debt!$3:$3,AL$3)</f>
        <v>185.95400000000001</v>
      </c>
      <c r="AM135" s="166">
        <f>+SUMIFS(Debt!$17:$17,Debt!$3:$3,AM$3)</f>
        <v>185.95400000000001</v>
      </c>
      <c r="AN135" s="166">
        <f>+SUMIFS(Debt!$17:$17,Debt!$3:$3,AN$3)</f>
        <v>185.95400000000001</v>
      </c>
      <c r="AO135" s="166">
        <f>+SUMIFS(Debt!$17:$17,Debt!$3:$3,AO$3)</f>
        <v>185.95400000000001</v>
      </c>
      <c r="AP135" s="166">
        <f>+SUMIFS(Debt!$17:$17,Debt!$3:$3,AP$3)</f>
        <v>185.95400000000001</v>
      </c>
      <c r="AQ135" s="166">
        <f>+SUMIFS(Debt!$17:$17,Debt!$3:$3,AQ$3)</f>
        <v>185.95400000000001</v>
      </c>
      <c r="AR135" s="166">
        <f>+SUMIFS(Debt!$17:$17,Debt!$3:$3,AR$3)</f>
        <v>185.95400000000001</v>
      </c>
      <c r="AS135" s="166">
        <f>+SUMIFS(Debt!$17:$17,Debt!$3:$3,AS$3)</f>
        <v>185.95400000000001</v>
      </c>
      <c r="AT135" s="166">
        <f>+SUMIFS(Debt!$17:$17,Debt!$3:$3,AT$3)</f>
        <v>185.95400000000001</v>
      </c>
      <c r="AU135" s="166">
        <f>+SUMIFS(Debt!$17:$17,Debt!$3:$3,AU$3)</f>
        <v>185.95400000000001</v>
      </c>
      <c r="AV135" s="166">
        <f>+SUMIFS(Debt!$17:$17,Debt!$3:$3,AV$3)</f>
        <v>185.95400000000001</v>
      </c>
      <c r="AW135" s="166">
        <f>+SUMIFS(Debt!$17:$17,Debt!$3:$3,AW$3)</f>
        <v>185.95400000000001</v>
      </c>
      <c r="AX135" s="166">
        <f>+SUMIFS(Debt!$17:$17,Debt!$3:$3,AX$3)</f>
        <v>185.95400000000001</v>
      </c>
      <c r="AY135" s="166">
        <f>+SUMIFS(Debt!$17:$17,Debt!$3:$3,AY$3)</f>
        <v>185.95400000000001</v>
      </c>
      <c r="AZ135" s="166">
        <f>+SUMIFS(Debt!$17:$17,Debt!$3:$3,AZ$3)</f>
        <v>185.95400000000001</v>
      </c>
      <c r="BA135" s="166">
        <f>+SUMIFS(Debt!$17:$17,Debt!$3:$3,BA$3)</f>
        <v>185.95400000000001</v>
      </c>
      <c r="BB135" s="8" t="s">
        <v>75</v>
      </c>
    </row>
    <row r="136" spans="2:54" x14ac:dyDescent="0.2">
      <c r="B136" s="19" t="s">
        <v>116</v>
      </c>
      <c r="C136" s="45" t="s">
        <v>187</v>
      </c>
      <c r="D136" s="19"/>
      <c r="E136" s="11"/>
      <c r="F136" s="11">
        <f t="shared" si="81"/>
        <v>24.013000000000002</v>
      </c>
      <c r="G136" s="11">
        <f t="shared" si="81"/>
        <v>26.198</v>
      </c>
      <c r="H136" s="11">
        <f t="shared" si="81"/>
        <v>39.46</v>
      </c>
      <c r="I136" s="11">
        <f t="shared" si="81"/>
        <v>39.46</v>
      </c>
      <c r="J136" s="11">
        <f t="shared" si="81"/>
        <v>39.46</v>
      </c>
      <c r="K136" s="11">
        <f t="shared" si="81"/>
        <v>39.46</v>
      </c>
      <c r="L136" s="11">
        <f t="shared" si="81"/>
        <v>39.46</v>
      </c>
      <c r="M136" s="11">
        <f t="shared" si="81"/>
        <v>39.46</v>
      </c>
      <c r="N136" s="11">
        <f t="shared" si="81"/>
        <v>39.46</v>
      </c>
      <c r="O136" s="11"/>
      <c r="P136" s="11"/>
      <c r="R136" s="12">
        <v>17.677</v>
      </c>
      <c r="S136" s="12">
        <v>17.166</v>
      </c>
      <c r="T136" s="12">
        <v>21.582999999999998</v>
      </c>
      <c r="U136" s="12">
        <v>24.013000000000002</v>
      </c>
      <c r="V136" s="12">
        <v>17.816515210109998</v>
      </c>
      <c r="W136" s="12">
        <v>20.588999999999999</v>
      </c>
      <c r="X136" s="12">
        <v>29.178000000000001</v>
      </c>
      <c r="Y136" s="12">
        <v>26.198</v>
      </c>
      <c r="Z136" s="12">
        <v>21.361396729999999</v>
      </c>
      <c r="AA136" s="12">
        <v>35.704000000000001</v>
      </c>
      <c r="AB136" s="12">
        <v>45.853999999999999</v>
      </c>
      <c r="AC136" s="12">
        <v>39.46</v>
      </c>
      <c r="AD136" s="11">
        <f t="shared" si="83"/>
        <v>39.46</v>
      </c>
      <c r="AE136" s="11">
        <f t="shared" si="84"/>
        <v>39.46</v>
      </c>
      <c r="AF136" s="11">
        <f t="shared" si="84"/>
        <v>39.46</v>
      </c>
      <c r="AG136" s="11">
        <f t="shared" si="84"/>
        <v>39.46</v>
      </c>
      <c r="AH136" s="11">
        <f t="shared" si="84"/>
        <v>39.46</v>
      </c>
      <c r="AI136" s="11">
        <f t="shared" si="84"/>
        <v>39.46</v>
      </c>
      <c r="AJ136" s="11">
        <f t="shared" si="84"/>
        <v>39.46</v>
      </c>
      <c r="AK136" s="11">
        <f t="shared" si="84"/>
        <v>39.46</v>
      </c>
      <c r="AL136" s="11">
        <f t="shared" si="84"/>
        <v>39.46</v>
      </c>
      <c r="AM136" s="11">
        <f t="shared" si="84"/>
        <v>39.46</v>
      </c>
      <c r="AN136" s="11">
        <f t="shared" si="84"/>
        <v>39.46</v>
      </c>
      <c r="AO136" s="11">
        <f t="shared" si="84"/>
        <v>39.46</v>
      </c>
      <c r="AP136" s="11">
        <f t="shared" si="84"/>
        <v>39.46</v>
      </c>
      <c r="AQ136" s="11">
        <f t="shared" si="84"/>
        <v>39.46</v>
      </c>
      <c r="AR136" s="11">
        <f t="shared" si="84"/>
        <v>39.46</v>
      </c>
      <c r="AS136" s="11">
        <f t="shared" si="84"/>
        <v>39.46</v>
      </c>
      <c r="AT136" s="11">
        <f t="shared" si="84"/>
        <v>39.46</v>
      </c>
      <c r="AU136" s="11">
        <f t="shared" si="84"/>
        <v>39.46</v>
      </c>
      <c r="AV136" s="11">
        <f t="shared" si="84"/>
        <v>39.46</v>
      </c>
      <c r="AW136" s="11">
        <f t="shared" si="84"/>
        <v>39.46</v>
      </c>
      <c r="AX136" s="11">
        <f t="shared" si="84"/>
        <v>39.46</v>
      </c>
      <c r="AY136" s="11">
        <f t="shared" si="84"/>
        <v>39.46</v>
      </c>
      <c r="AZ136" s="11">
        <f t="shared" si="84"/>
        <v>39.46</v>
      </c>
      <c r="BA136" s="11">
        <f t="shared" si="84"/>
        <v>39.46</v>
      </c>
      <c r="BB136" s="8" t="s">
        <v>75</v>
      </c>
    </row>
    <row r="137" spans="2:54" x14ac:dyDescent="0.2">
      <c r="B137" s="19" t="s">
        <v>117</v>
      </c>
      <c r="C137" s="45" t="s">
        <v>187</v>
      </c>
      <c r="D137" s="19"/>
      <c r="E137" s="11"/>
      <c r="F137" s="11">
        <f t="shared" si="81"/>
        <v>7.6120000000000001</v>
      </c>
      <c r="G137" s="11">
        <f t="shared" si="81"/>
        <v>5.8840000000000003</v>
      </c>
      <c r="H137" s="11">
        <f t="shared" si="81"/>
        <v>9.7940000000000005</v>
      </c>
      <c r="I137" s="11">
        <f t="shared" si="81"/>
        <v>9.7940000000000005</v>
      </c>
      <c r="J137" s="11">
        <f t="shared" si="81"/>
        <v>9.7940000000000005</v>
      </c>
      <c r="K137" s="11">
        <f t="shared" si="81"/>
        <v>9.7940000000000005</v>
      </c>
      <c r="L137" s="11">
        <f t="shared" si="81"/>
        <v>9.7940000000000005</v>
      </c>
      <c r="M137" s="11">
        <f t="shared" si="81"/>
        <v>9.7940000000000005</v>
      </c>
      <c r="N137" s="11">
        <f t="shared" si="81"/>
        <v>9.7940000000000005</v>
      </c>
      <c r="O137" s="11"/>
      <c r="P137" s="11"/>
      <c r="R137" s="12">
        <v>5.7640000000000002</v>
      </c>
      <c r="S137" s="12">
        <v>5.7549999999999999</v>
      </c>
      <c r="T137" s="12">
        <v>5.92</v>
      </c>
      <c r="U137" s="12">
        <v>7.6120000000000001</v>
      </c>
      <c r="V137" s="12">
        <v>14.797522370000001</v>
      </c>
      <c r="W137" s="12">
        <v>5.6159999999999997</v>
      </c>
      <c r="X137" s="12">
        <v>7.3860000000000001</v>
      </c>
      <c r="Y137" s="12">
        <v>5.8840000000000003</v>
      </c>
      <c r="Z137" s="12">
        <v>5.7969999999999997</v>
      </c>
      <c r="AA137" s="12">
        <v>6.09</v>
      </c>
      <c r="AB137" s="12">
        <v>6.0720000000000001</v>
      </c>
      <c r="AC137" s="12">
        <v>9.7940000000000005</v>
      </c>
      <c r="AD137" s="11">
        <f t="shared" si="83"/>
        <v>9.7940000000000005</v>
      </c>
      <c r="AE137" s="11">
        <f t="shared" si="84"/>
        <v>9.7940000000000005</v>
      </c>
      <c r="AF137" s="11">
        <f t="shared" si="84"/>
        <v>9.7940000000000005</v>
      </c>
      <c r="AG137" s="11">
        <f t="shared" si="84"/>
        <v>9.7940000000000005</v>
      </c>
      <c r="AH137" s="11">
        <f t="shared" si="84"/>
        <v>9.7940000000000005</v>
      </c>
      <c r="AI137" s="11">
        <f t="shared" si="84"/>
        <v>9.7940000000000005</v>
      </c>
      <c r="AJ137" s="11">
        <f t="shared" si="84"/>
        <v>9.7940000000000005</v>
      </c>
      <c r="AK137" s="11">
        <f t="shared" si="84"/>
        <v>9.7940000000000005</v>
      </c>
      <c r="AL137" s="11">
        <f t="shared" si="84"/>
        <v>9.7940000000000005</v>
      </c>
      <c r="AM137" s="11">
        <f t="shared" si="84"/>
        <v>9.7940000000000005</v>
      </c>
      <c r="AN137" s="11">
        <f t="shared" si="84"/>
        <v>9.7940000000000005</v>
      </c>
      <c r="AO137" s="11">
        <f t="shared" si="84"/>
        <v>9.7940000000000005</v>
      </c>
      <c r="AP137" s="11">
        <f t="shared" si="84"/>
        <v>9.7940000000000005</v>
      </c>
      <c r="AQ137" s="11">
        <f t="shared" si="84"/>
        <v>9.7940000000000005</v>
      </c>
      <c r="AR137" s="11">
        <f t="shared" si="84"/>
        <v>9.7940000000000005</v>
      </c>
      <c r="AS137" s="11">
        <f t="shared" si="84"/>
        <v>9.7940000000000005</v>
      </c>
      <c r="AT137" s="11">
        <f t="shared" si="84"/>
        <v>9.7940000000000005</v>
      </c>
      <c r="AU137" s="11">
        <f t="shared" si="84"/>
        <v>9.7940000000000005</v>
      </c>
      <c r="AV137" s="11">
        <f t="shared" si="84"/>
        <v>9.7940000000000005</v>
      </c>
      <c r="AW137" s="11">
        <f t="shared" si="84"/>
        <v>9.7940000000000005</v>
      </c>
      <c r="AX137" s="11">
        <f t="shared" si="84"/>
        <v>9.7940000000000005</v>
      </c>
      <c r="AY137" s="11">
        <f t="shared" si="84"/>
        <v>9.7940000000000005</v>
      </c>
      <c r="AZ137" s="11">
        <f t="shared" si="84"/>
        <v>9.7940000000000005</v>
      </c>
      <c r="BA137" s="11">
        <f t="shared" si="84"/>
        <v>9.7940000000000005</v>
      </c>
      <c r="BB137" s="8" t="s">
        <v>75</v>
      </c>
    </row>
    <row r="138" spans="2:54" x14ac:dyDescent="0.2">
      <c r="B138" s="19" t="s">
        <v>118</v>
      </c>
      <c r="C138" s="45" t="s">
        <v>187</v>
      </c>
      <c r="D138" s="19"/>
      <c r="E138" s="11"/>
      <c r="F138" s="11">
        <f t="shared" si="81"/>
        <v>20.477</v>
      </c>
      <c r="G138" s="11">
        <f t="shared" si="81"/>
        <v>17.398</v>
      </c>
      <c r="H138" s="11">
        <f t="shared" si="81"/>
        <v>26.241</v>
      </c>
      <c r="I138" s="11">
        <f t="shared" si="81"/>
        <v>26.241</v>
      </c>
      <c r="J138" s="11">
        <f t="shared" si="81"/>
        <v>26.241</v>
      </c>
      <c r="K138" s="11">
        <f t="shared" si="81"/>
        <v>26.241</v>
      </c>
      <c r="L138" s="11">
        <f t="shared" si="81"/>
        <v>26.241</v>
      </c>
      <c r="M138" s="11">
        <f t="shared" si="81"/>
        <v>26.241</v>
      </c>
      <c r="N138" s="11">
        <f t="shared" si="81"/>
        <v>26.241</v>
      </c>
      <c r="O138" s="11"/>
      <c r="P138" s="11"/>
      <c r="R138" s="12">
        <v>22.616</v>
      </c>
      <c r="S138" s="12">
        <v>27.949000000000002</v>
      </c>
      <c r="T138" s="12">
        <v>18.988</v>
      </c>
      <c r="U138" s="12">
        <v>20.477</v>
      </c>
      <c r="V138" s="12">
        <v>15.851402682372997</v>
      </c>
      <c r="W138" s="12">
        <v>19.186</v>
      </c>
      <c r="X138" s="12">
        <v>24.260999999999999</v>
      </c>
      <c r="Y138" s="12">
        <v>17.398</v>
      </c>
      <c r="Z138" s="12">
        <v>21.441651531455999</v>
      </c>
      <c r="AA138" s="12">
        <v>26.31</v>
      </c>
      <c r="AB138" s="12">
        <v>22.138999999999999</v>
      </c>
      <c r="AC138" s="12">
        <v>26.241</v>
      </c>
      <c r="AD138" s="11">
        <f t="shared" si="83"/>
        <v>26.241</v>
      </c>
      <c r="AE138" s="11">
        <f t="shared" si="84"/>
        <v>26.241</v>
      </c>
      <c r="AF138" s="11">
        <f t="shared" si="84"/>
        <v>26.241</v>
      </c>
      <c r="AG138" s="11">
        <f t="shared" si="84"/>
        <v>26.241</v>
      </c>
      <c r="AH138" s="11">
        <f t="shared" si="84"/>
        <v>26.241</v>
      </c>
      <c r="AI138" s="11">
        <f t="shared" si="84"/>
        <v>26.241</v>
      </c>
      <c r="AJ138" s="11">
        <f t="shared" si="84"/>
        <v>26.241</v>
      </c>
      <c r="AK138" s="11">
        <f t="shared" si="84"/>
        <v>26.241</v>
      </c>
      <c r="AL138" s="11">
        <f t="shared" si="84"/>
        <v>26.241</v>
      </c>
      <c r="AM138" s="11">
        <f t="shared" si="84"/>
        <v>26.241</v>
      </c>
      <c r="AN138" s="11">
        <f t="shared" si="84"/>
        <v>26.241</v>
      </c>
      <c r="AO138" s="11">
        <f t="shared" si="84"/>
        <v>26.241</v>
      </c>
      <c r="AP138" s="11">
        <f t="shared" si="84"/>
        <v>26.241</v>
      </c>
      <c r="AQ138" s="11">
        <f t="shared" si="84"/>
        <v>26.241</v>
      </c>
      <c r="AR138" s="11">
        <f t="shared" si="84"/>
        <v>26.241</v>
      </c>
      <c r="AS138" s="11">
        <f t="shared" si="84"/>
        <v>26.241</v>
      </c>
      <c r="AT138" s="11">
        <f t="shared" si="84"/>
        <v>26.241</v>
      </c>
      <c r="AU138" s="11">
        <f t="shared" si="84"/>
        <v>26.241</v>
      </c>
      <c r="AV138" s="11">
        <f t="shared" si="84"/>
        <v>26.241</v>
      </c>
      <c r="AW138" s="11">
        <f t="shared" si="84"/>
        <v>26.241</v>
      </c>
      <c r="AX138" s="11">
        <f t="shared" si="84"/>
        <v>26.241</v>
      </c>
      <c r="AY138" s="11">
        <f t="shared" si="84"/>
        <v>26.241</v>
      </c>
      <c r="AZ138" s="11">
        <f t="shared" si="84"/>
        <v>26.241</v>
      </c>
      <c r="BA138" s="11">
        <f t="shared" si="84"/>
        <v>26.241</v>
      </c>
      <c r="BB138" s="8" t="s">
        <v>75</v>
      </c>
    </row>
    <row r="139" spans="2:54" x14ac:dyDescent="0.2">
      <c r="B139" s="19" t="s">
        <v>102</v>
      </c>
      <c r="C139" s="45" t="s">
        <v>187</v>
      </c>
      <c r="D139" s="19"/>
      <c r="E139" s="11"/>
      <c r="F139" s="11">
        <f t="shared" si="81"/>
        <v>22.608000000000001</v>
      </c>
      <c r="G139" s="11">
        <f t="shared" si="81"/>
        <v>21.971</v>
      </c>
      <c r="H139" s="11">
        <f t="shared" si="81"/>
        <v>67.622</v>
      </c>
      <c r="I139" s="11">
        <f t="shared" si="81"/>
        <v>67.622</v>
      </c>
      <c r="J139" s="11">
        <f t="shared" si="81"/>
        <v>67.622</v>
      </c>
      <c r="K139" s="11">
        <f t="shared" si="81"/>
        <v>67.622</v>
      </c>
      <c r="L139" s="11">
        <f t="shared" si="81"/>
        <v>67.622</v>
      </c>
      <c r="M139" s="11">
        <f t="shared" si="81"/>
        <v>67.622</v>
      </c>
      <c r="N139" s="11">
        <f t="shared" si="81"/>
        <v>67.622</v>
      </c>
      <c r="O139" s="11"/>
      <c r="P139" s="11"/>
      <c r="R139" s="12">
        <v>12.843999999999999</v>
      </c>
      <c r="S139" s="12">
        <v>7.73</v>
      </c>
      <c r="T139" s="12">
        <v>27.977</v>
      </c>
      <c r="U139" s="12">
        <v>22.608000000000001</v>
      </c>
      <c r="V139" s="12">
        <v>4.4807065684999996</v>
      </c>
      <c r="W139" s="12">
        <v>5.4370000000000003</v>
      </c>
      <c r="X139" s="12">
        <v>10.946</v>
      </c>
      <c r="Y139" s="12">
        <v>21.971</v>
      </c>
      <c r="Z139" s="12">
        <v>14.731</v>
      </c>
      <c r="AA139" s="12">
        <v>30.863</v>
      </c>
      <c r="AB139" s="12">
        <v>40.146999999999998</v>
      </c>
      <c r="AC139" s="12">
        <v>67.622</v>
      </c>
      <c r="AD139" s="11">
        <f t="shared" si="83"/>
        <v>67.622</v>
      </c>
      <c r="AE139" s="11">
        <f t="shared" si="84"/>
        <v>67.622</v>
      </c>
      <c r="AF139" s="11">
        <f t="shared" si="84"/>
        <v>67.622</v>
      </c>
      <c r="AG139" s="11">
        <f t="shared" si="84"/>
        <v>67.622</v>
      </c>
      <c r="AH139" s="11">
        <f t="shared" si="84"/>
        <v>67.622</v>
      </c>
      <c r="AI139" s="11">
        <f t="shared" si="84"/>
        <v>67.622</v>
      </c>
      <c r="AJ139" s="11">
        <f t="shared" si="84"/>
        <v>67.622</v>
      </c>
      <c r="AK139" s="11">
        <f t="shared" si="84"/>
        <v>67.622</v>
      </c>
      <c r="AL139" s="11">
        <f t="shared" si="84"/>
        <v>67.622</v>
      </c>
      <c r="AM139" s="11">
        <f t="shared" si="84"/>
        <v>67.622</v>
      </c>
      <c r="AN139" s="11">
        <f t="shared" si="84"/>
        <v>67.622</v>
      </c>
      <c r="AO139" s="11">
        <f t="shared" si="84"/>
        <v>67.622</v>
      </c>
      <c r="AP139" s="11">
        <f t="shared" si="84"/>
        <v>67.622</v>
      </c>
      <c r="AQ139" s="11">
        <f t="shared" si="84"/>
        <v>67.622</v>
      </c>
      <c r="AR139" s="11">
        <f t="shared" si="84"/>
        <v>67.622</v>
      </c>
      <c r="AS139" s="11">
        <f t="shared" si="84"/>
        <v>67.622</v>
      </c>
      <c r="AT139" s="11">
        <f t="shared" si="84"/>
        <v>67.622</v>
      </c>
      <c r="AU139" s="11">
        <f t="shared" si="84"/>
        <v>67.622</v>
      </c>
      <c r="AV139" s="11">
        <f t="shared" si="84"/>
        <v>67.622</v>
      </c>
      <c r="AW139" s="11">
        <f t="shared" si="84"/>
        <v>67.622</v>
      </c>
      <c r="AX139" s="11">
        <f t="shared" si="84"/>
        <v>67.622</v>
      </c>
      <c r="AY139" s="11">
        <f t="shared" si="84"/>
        <v>67.622</v>
      </c>
      <c r="AZ139" s="11">
        <f t="shared" si="84"/>
        <v>67.622</v>
      </c>
      <c r="BA139" s="11">
        <f t="shared" si="84"/>
        <v>67.622</v>
      </c>
      <c r="BB139" s="8" t="s">
        <v>75</v>
      </c>
    </row>
    <row r="140" spans="2:54" x14ac:dyDescent="0.2">
      <c r="B140" s="19" t="s">
        <v>119</v>
      </c>
      <c r="C140" s="45" t="s">
        <v>187</v>
      </c>
      <c r="D140" s="19"/>
      <c r="E140" s="11"/>
      <c r="F140" s="11">
        <f t="shared" si="81"/>
        <v>41.856999999999999</v>
      </c>
      <c r="G140" s="11">
        <f t="shared" si="81"/>
        <v>21.721</v>
      </c>
      <c r="H140" s="11">
        <f t="shared" si="81"/>
        <v>7.3150000000000004</v>
      </c>
      <c r="I140" s="11">
        <f t="shared" si="81"/>
        <v>7.3150000000000004</v>
      </c>
      <c r="J140" s="11">
        <f t="shared" si="81"/>
        <v>7.3150000000000004</v>
      </c>
      <c r="K140" s="11">
        <f t="shared" si="81"/>
        <v>7.3150000000000004</v>
      </c>
      <c r="L140" s="11">
        <f t="shared" si="81"/>
        <v>7.3150000000000004</v>
      </c>
      <c r="M140" s="11">
        <f t="shared" si="81"/>
        <v>7.3150000000000004</v>
      </c>
      <c r="N140" s="11">
        <f t="shared" si="81"/>
        <v>7.3150000000000004</v>
      </c>
      <c r="O140" s="11"/>
      <c r="P140" s="11"/>
      <c r="R140" s="12">
        <v>23.632000000000001</v>
      </c>
      <c r="S140" s="12">
        <v>37.054000000000002</v>
      </c>
      <c r="T140" s="12">
        <v>37.258000000000003</v>
      </c>
      <c r="U140" s="12">
        <v>41.856999999999999</v>
      </c>
      <c r="V140" s="12">
        <v>34.003843237097001</v>
      </c>
      <c r="W140" s="12">
        <v>18.771999999999998</v>
      </c>
      <c r="X140" s="12">
        <v>18.408999999999999</v>
      </c>
      <c r="Y140" s="12">
        <v>21.721</v>
      </c>
      <c r="Z140" s="12">
        <v>6.4829999999999997</v>
      </c>
      <c r="AA140" s="12">
        <v>4.944</v>
      </c>
      <c r="AB140" s="12">
        <v>0.83846773333333335</v>
      </c>
      <c r="AC140" s="12">
        <v>7.3150000000000004</v>
      </c>
      <c r="AD140" s="11">
        <f t="shared" si="83"/>
        <v>7.3150000000000004</v>
      </c>
      <c r="AE140" s="11">
        <f t="shared" si="84"/>
        <v>7.3150000000000004</v>
      </c>
      <c r="AF140" s="11">
        <f t="shared" si="84"/>
        <v>7.3150000000000004</v>
      </c>
      <c r="AG140" s="11">
        <f t="shared" si="84"/>
        <v>7.3150000000000004</v>
      </c>
      <c r="AH140" s="11">
        <f t="shared" si="84"/>
        <v>7.3150000000000004</v>
      </c>
      <c r="AI140" s="11">
        <f t="shared" si="84"/>
        <v>7.3150000000000004</v>
      </c>
      <c r="AJ140" s="11">
        <f t="shared" si="84"/>
        <v>7.3150000000000004</v>
      </c>
      <c r="AK140" s="11">
        <f t="shared" si="84"/>
        <v>7.3150000000000004</v>
      </c>
      <c r="AL140" s="11">
        <f t="shared" si="84"/>
        <v>7.3150000000000004</v>
      </c>
      <c r="AM140" s="11">
        <f t="shared" si="84"/>
        <v>7.3150000000000004</v>
      </c>
      <c r="AN140" s="11">
        <f t="shared" si="84"/>
        <v>7.3150000000000004</v>
      </c>
      <c r="AO140" s="11">
        <f t="shared" si="84"/>
        <v>7.3150000000000004</v>
      </c>
      <c r="AP140" s="11">
        <f t="shared" si="84"/>
        <v>7.3150000000000004</v>
      </c>
      <c r="AQ140" s="11">
        <f t="shared" si="84"/>
        <v>7.3150000000000004</v>
      </c>
      <c r="AR140" s="11">
        <f t="shared" si="84"/>
        <v>7.3150000000000004</v>
      </c>
      <c r="AS140" s="11">
        <f t="shared" si="84"/>
        <v>7.3150000000000004</v>
      </c>
      <c r="AT140" s="11">
        <f t="shared" si="84"/>
        <v>7.3150000000000004</v>
      </c>
      <c r="AU140" s="11">
        <f t="shared" si="84"/>
        <v>7.3150000000000004</v>
      </c>
      <c r="AV140" s="11">
        <f t="shared" si="84"/>
        <v>7.3150000000000004</v>
      </c>
      <c r="AW140" s="11">
        <f t="shared" si="84"/>
        <v>7.3150000000000004</v>
      </c>
      <c r="AX140" s="11">
        <f t="shared" si="84"/>
        <v>7.3150000000000004</v>
      </c>
      <c r="AY140" s="11">
        <f t="shared" si="84"/>
        <v>7.3150000000000004</v>
      </c>
      <c r="AZ140" s="11">
        <f t="shared" si="84"/>
        <v>7.3150000000000004</v>
      </c>
      <c r="BA140" s="11">
        <f t="shared" si="84"/>
        <v>7.3150000000000004</v>
      </c>
      <c r="BB140" s="8" t="s">
        <v>75</v>
      </c>
    </row>
    <row r="141" spans="2:54" x14ac:dyDescent="0.2">
      <c r="B141" s="19" t="s">
        <v>120</v>
      </c>
      <c r="C141" s="45" t="s">
        <v>187</v>
      </c>
      <c r="D141" s="19"/>
      <c r="E141" s="11"/>
      <c r="F141" s="11">
        <f t="shared" si="81"/>
        <v>1.3579824905000002</v>
      </c>
      <c r="G141" s="11">
        <f t="shared" si="81"/>
        <v>2.8340000000000001</v>
      </c>
      <c r="H141" s="11">
        <f t="shared" si="81"/>
        <v>0.23699999999999999</v>
      </c>
      <c r="I141" s="11">
        <f t="shared" si="81"/>
        <v>0.23699999999999999</v>
      </c>
      <c r="J141" s="11">
        <f t="shared" si="81"/>
        <v>0.23699999999999999</v>
      </c>
      <c r="K141" s="11">
        <f t="shared" si="81"/>
        <v>0.23699999999999999</v>
      </c>
      <c r="L141" s="11">
        <f t="shared" si="81"/>
        <v>0.23699999999999999</v>
      </c>
      <c r="M141" s="11">
        <f t="shared" si="81"/>
        <v>0.23699999999999999</v>
      </c>
      <c r="N141" s="11">
        <f t="shared" si="81"/>
        <v>0.23699999999999999</v>
      </c>
      <c r="O141" s="11"/>
      <c r="P141" s="11"/>
      <c r="R141" s="12">
        <v>0</v>
      </c>
      <c r="S141" s="12">
        <v>0</v>
      </c>
      <c r="T141" s="12">
        <v>0</v>
      </c>
      <c r="U141" s="12">
        <v>1.3579824905000002</v>
      </c>
      <c r="V141" s="12">
        <v>1.3576096301150173</v>
      </c>
      <c r="W141" s="12">
        <v>0</v>
      </c>
      <c r="X141" s="12">
        <v>0</v>
      </c>
      <c r="Y141" s="12">
        <v>2.8340000000000001</v>
      </c>
      <c r="Z141" s="12">
        <v>16.327000000000002</v>
      </c>
      <c r="AA141" s="12">
        <v>13.912000000000001</v>
      </c>
      <c r="AB141" s="12">
        <v>15.365</v>
      </c>
      <c r="AC141" s="12">
        <v>0.23699999999999999</v>
      </c>
      <c r="AD141" s="11">
        <f t="shared" si="83"/>
        <v>0.23699999999999999</v>
      </c>
      <c r="AE141" s="11">
        <f t="shared" si="84"/>
        <v>0.23699999999999999</v>
      </c>
      <c r="AF141" s="11">
        <f t="shared" si="84"/>
        <v>0.23699999999999999</v>
      </c>
      <c r="AG141" s="11">
        <f t="shared" si="84"/>
        <v>0.23699999999999999</v>
      </c>
      <c r="AH141" s="11">
        <f t="shared" si="84"/>
        <v>0.23699999999999999</v>
      </c>
      <c r="AI141" s="11">
        <f t="shared" si="84"/>
        <v>0.23699999999999999</v>
      </c>
      <c r="AJ141" s="11">
        <f t="shared" si="84"/>
        <v>0.23699999999999999</v>
      </c>
      <c r="AK141" s="11">
        <f t="shared" si="84"/>
        <v>0.23699999999999999</v>
      </c>
      <c r="AL141" s="11">
        <f t="shared" si="84"/>
        <v>0.23699999999999999</v>
      </c>
      <c r="AM141" s="11">
        <f t="shared" si="84"/>
        <v>0.23699999999999999</v>
      </c>
      <c r="AN141" s="11">
        <f t="shared" si="84"/>
        <v>0.23699999999999999</v>
      </c>
      <c r="AO141" s="11">
        <f t="shared" si="84"/>
        <v>0.23699999999999999</v>
      </c>
      <c r="AP141" s="11">
        <f t="shared" si="84"/>
        <v>0.23699999999999999</v>
      </c>
      <c r="AQ141" s="11">
        <f t="shared" si="84"/>
        <v>0.23699999999999999</v>
      </c>
      <c r="AR141" s="11">
        <f t="shared" si="84"/>
        <v>0.23699999999999999</v>
      </c>
      <c r="AS141" s="11">
        <f t="shared" si="84"/>
        <v>0.23699999999999999</v>
      </c>
      <c r="AT141" s="11">
        <f t="shared" si="84"/>
        <v>0.23699999999999999</v>
      </c>
      <c r="AU141" s="11">
        <f t="shared" si="84"/>
        <v>0.23699999999999999</v>
      </c>
      <c r="AV141" s="11">
        <f t="shared" si="84"/>
        <v>0.23699999999999999</v>
      </c>
      <c r="AW141" s="11">
        <f t="shared" si="84"/>
        <v>0.23699999999999999</v>
      </c>
      <c r="AX141" s="11">
        <f t="shared" si="84"/>
        <v>0.23699999999999999</v>
      </c>
      <c r="AY141" s="11">
        <f t="shared" si="84"/>
        <v>0.23699999999999999</v>
      </c>
      <c r="AZ141" s="11">
        <f t="shared" si="84"/>
        <v>0.23699999999999999</v>
      </c>
      <c r="BA141" s="11">
        <f t="shared" si="84"/>
        <v>0.23699999999999999</v>
      </c>
      <c r="BB141" s="8" t="s">
        <v>75</v>
      </c>
    </row>
    <row r="142" spans="2:54" x14ac:dyDescent="0.2">
      <c r="B142" s="19" t="s">
        <v>121</v>
      </c>
      <c r="C142" s="45" t="s">
        <v>187</v>
      </c>
      <c r="D142" s="19"/>
      <c r="E142" s="11"/>
      <c r="F142" s="11">
        <f t="shared" si="81"/>
        <v>0</v>
      </c>
      <c r="G142" s="11">
        <f t="shared" si="81"/>
        <v>0.107</v>
      </c>
      <c r="H142" s="11">
        <f t="shared" si="81"/>
        <v>14.446</v>
      </c>
      <c r="I142" s="11">
        <f t="shared" si="81"/>
        <v>14.446</v>
      </c>
      <c r="J142" s="11">
        <f t="shared" si="81"/>
        <v>14.446</v>
      </c>
      <c r="K142" s="11">
        <f t="shared" si="81"/>
        <v>14.446</v>
      </c>
      <c r="L142" s="11">
        <f t="shared" si="81"/>
        <v>14.446</v>
      </c>
      <c r="M142" s="11">
        <f t="shared" si="81"/>
        <v>14.446</v>
      </c>
      <c r="N142" s="11">
        <f t="shared" si="81"/>
        <v>14.446</v>
      </c>
      <c r="O142" s="11"/>
      <c r="P142" s="11"/>
      <c r="R142" s="12">
        <v>0</v>
      </c>
      <c r="S142" s="12">
        <v>0</v>
      </c>
      <c r="T142" s="12">
        <v>0</v>
      </c>
      <c r="U142" s="12">
        <v>0</v>
      </c>
      <c r="V142" s="12">
        <v>5.1109431599284303</v>
      </c>
      <c r="W142" s="12">
        <v>3.766</v>
      </c>
      <c r="X142" s="12">
        <v>6.4459999999999997</v>
      </c>
      <c r="Y142" s="12">
        <v>0.107</v>
      </c>
      <c r="Z142" s="12">
        <v>8.7004051732652936</v>
      </c>
      <c r="AA142" s="12">
        <v>6.6950000000000003</v>
      </c>
      <c r="AB142" s="12">
        <v>10.180999999999999</v>
      </c>
      <c r="AC142" s="12">
        <v>14.446</v>
      </c>
      <c r="AD142" s="11">
        <f t="shared" si="83"/>
        <v>14.446</v>
      </c>
      <c r="AE142" s="11">
        <f t="shared" si="84"/>
        <v>14.446</v>
      </c>
      <c r="AF142" s="11">
        <f t="shared" si="84"/>
        <v>14.446</v>
      </c>
      <c r="AG142" s="11">
        <f t="shared" si="84"/>
        <v>14.446</v>
      </c>
      <c r="AH142" s="11">
        <f t="shared" si="84"/>
        <v>14.446</v>
      </c>
      <c r="AI142" s="11">
        <f t="shared" si="84"/>
        <v>14.446</v>
      </c>
      <c r="AJ142" s="11">
        <f t="shared" si="84"/>
        <v>14.446</v>
      </c>
      <c r="AK142" s="11">
        <f t="shared" si="84"/>
        <v>14.446</v>
      </c>
      <c r="AL142" s="11">
        <f t="shared" si="84"/>
        <v>14.446</v>
      </c>
      <c r="AM142" s="11">
        <f t="shared" si="84"/>
        <v>14.446</v>
      </c>
      <c r="AN142" s="11">
        <f t="shared" si="84"/>
        <v>14.446</v>
      </c>
      <c r="AO142" s="11">
        <f t="shared" si="84"/>
        <v>14.446</v>
      </c>
      <c r="AP142" s="11">
        <f t="shared" si="84"/>
        <v>14.446</v>
      </c>
      <c r="AQ142" s="11">
        <f t="shared" si="84"/>
        <v>14.446</v>
      </c>
      <c r="AR142" s="11">
        <f t="shared" si="84"/>
        <v>14.446</v>
      </c>
      <c r="AS142" s="11">
        <f t="shared" si="84"/>
        <v>14.446</v>
      </c>
      <c r="AT142" s="11">
        <f t="shared" si="84"/>
        <v>14.446</v>
      </c>
      <c r="AU142" s="11">
        <f t="shared" si="84"/>
        <v>14.446</v>
      </c>
      <c r="AV142" s="11">
        <f t="shared" si="84"/>
        <v>14.446</v>
      </c>
      <c r="AW142" s="11">
        <f t="shared" si="84"/>
        <v>14.446</v>
      </c>
      <c r="AX142" s="11">
        <f t="shared" si="84"/>
        <v>14.446</v>
      </c>
      <c r="AY142" s="11">
        <f t="shared" si="84"/>
        <v>14.446</v>
      </c>
      <c r="AZ142" s="11">
        <f t="shared" si="84"/>
        <v>14.446</v>
      </c>
      <c r="BA142" s="11">
        <f t="shared" si="84"/>
        <v>14.446</v>
      </c>
      <c r="BB142" s="8" t="s">
        <v>75</v>
      </c>
    </row>
    <row r="143" spans="2:54" x14ac:dyDescent="0.2">
      <c r="B143" s="19" t="s">
        <v>78</v>
      </c>
      <c r="C143" s="45" t="s">
        <v>187</v>
      </c>
      <c r="D143" s="19"/>
      <c r="E143" s="11"/>
      <c r="F143" s="11">
        <f t="shared" si="81"/>
        <v>0</v>
      </c>
      <c r="G143" s="11">
        <f t="shared" si="81"/>
        <v>0</v>
      </c>
      <c r="H143" s="11">
        <f t="shared" si="81"/>
        <v>18.547000000000001</v>
      </c>
      <c r="I143" s="11">
        <f t="shared" si="81"/>
        <v>18.547000000000001</v>
      </c>
      <c r="J143" s="11">
        <f t="shared" si="81"/>
        <v>18.547000000000001</v>
      </c>
      <c r="K143" s="11">
        <f t="shared" si="81"/>
        <v>18.547000000000001</v>
      </c>
      <c r="L143" s="11">
        <f t="shared" si="81"/>
        <v>18.547000000000001</v>
      </c>
      <c r="M143" s="11">
        <f t="shared" si="81"/>
        <v>18.547000000000001</v>
      </c>
      <c r="N143" s="11">
        <f t="shared" si="81"/>
        <v>18.547000000000001</v>
      </c>
      <c r="O143" s="11"/>
      <c r="P143" s="11"/>
      <c r="R143" s="12">
        <v>0</v>
      </c>
      <c r="S143" s="12">
        <v>0</v>
      </c>
      <c r="T143" s="12">
        <v>0</v>
      </c>
      <c r="U143" s="12">
        <v>0</v>
      </c>
      <c r="V143" s="12">
        <v>0</v>
      </c>
      <c r="W143" s="12">
        <v>0</v>
      </c>
      <c r="X143" s="12">
        <v>0</v>
      </c>
      <c r="Y143" s="12">
        <v>0</v>
      </c>
      <c r="Z143" s="12">
        <v>16.875</v>
      </c>
      <c r="AA143" s="12">
        <v>20.253</v>
      </c>
      <c r="AB143" s="12">
        <v>20.338000000000001</v>
      </c>
      <c r="AC143" s="12">
        <v>18.547000000000001</v>
      </c>
      <c r="AD143" s="11">
        <f t="shared" si="83"/>
        <v>18.547000000000001</v>
      </c>
      <c r="AE143" s="11">
        <f t="shared" si="84"/>
        <v>18.547000000000001</v>
      </c>
      <c r="AF143" s="11">
        <f t="shared" si="84"/>
        <v>18.547000000000001</v>
      </c>
      <c r="AG143" s="11">
        <f t="shared" si="84"/>
        <v>18.547000000000001</v>
      </c>
      <c r="AH143" s="11">
        <f t="shared" si="84"/>
        <v>18.547000000000001</v>
      </c>
      <c r="AI143" s="11">
        <f t="shared" si="84"/>
        <v>18.547000000000001</v>
      </c>
      <c r="AJ143" s="11">
        <f t="shared" si="84"/>
        <v>18.547000000000001</v>
      </c>
      <c r="AK143" s="11">
        <f t="shared" si="84"/>
        <v>18.547000000000001</v>
      </c>
      <c r="AL143" s="11">
        <f t="shared" si="84"/>
        <v>18.547000000000001</v>
      </c>
      <c r="AM143" s="11">
        <f t="shared" si="84"/>
        <v>18.547000000000001</v>
      </c>
      <c r="AN143" s="11">
        <f t="shared" si="84"/>
        <v>18.547000000000001</v>
      </c>
      <c r="AO143" s="11">
        <f t="shared" si="84"/>
        <v>18.547000000000001</v>
      </c>
      <c r="AP143" s="11">
        <f t="shared" si="84"/>
        <v>18.547000000000001</v>
      </c>
      <c r="AQ143" s="11">
        <f t="shared" si="84"/>
        <v>18.547000000000001</v>
      </c>
      <c r="AR143" s="11">
        <f t="shared" si="84"/>
        <v>18.547000000000001</v>
      </c>
      <c r="AS143" s="11">
        <f t="shared" si="84"/>
        <v>18.547000000000001</v>
      </c>
      <c r="AT143" s="11">
        <f t="shared" si="84"/>
        <v>18.547000000000001</v>
      </c>
      <c r="AU143" s="11">
        <f t="shared" si="84"/>
        <v>18.547000000000001</v>
      </c>
      <c r="AV143" s="11">
        <f t="shared" si="84"/>
        <v>18.547000000000001</v>
      </c>
      <c r="AW143" s="11">
        <f t="shared" si="84"/>
        <v>18.547000000000001</v>
      </c>
      <c r="AX143" s="11">
        <f t="shared" si="84"/>
        <v>18.547000000000001</v>
      </c>
      <c r="AY143" s="11">
        <f t="shared" si="84"/>
        <v>18.547000000000001</v>
      </c>
      <c r="AZ143" s="11">
        <f t="shared" si="84"/>
        <v>18.547000000000001</v>
      </c>
      <c r="BA143" s="11">
        <f t="shared" si="84"/>
        <v>18.547000000000001</v>
      </c>
      <c r="BB143" s="8" t="s">
        <v>75</v>
      </c>
    </row>
    <row r="144" spans="2:54" x14ac:dyDescent="0.2">
      <c r="B144" s="19" t="s">
        <v>122</v>
      </c>
      <c r="C144" s="45" t="s">
        <v>187</v>
      </c>
      <c r="D144" s="19"/>
      <c r="E144" s="11"/>
      <c r="F144" s="11">
        <f t="shared" si="81"/>
        <v>12.375999999999999</v>
      </c>
      <c r="G144" s="11">
        <f t="shared" si="81"/>
        <v>4.859</v>
      </c>
      <c r="H144" s="11">
        <f t="shared" si="81"/>
        <v>7.8410000000000002</v>
      </c>
      <c r="I144" s="11">
        <f t="shared" si="81"/>
        <v>7.8410000000000002</v>
      </c>
      <c r="J144" s="11">
        <f t="shared" si="81"/>
        <v>7.8410000000000002</v>
      </c>
      <c r="K144" s="11">
        <f t="shared" si="81"/>
        <v>7.8410000000000002</v>
      </c>
      <c r="L144" s="11">
        <f t="shared" si="81"/>
        <v>7.8410000000000002</v>
      </c>
      <c r="M144" s="11">
        <f t="shared" si="81"/>
        <v>7.8410000000000002</v>
      </c>
      <c r="N144" s="11">
        <f t="shared" si="81"/>
        <v>7.8410000000000002</v>
      </c>
      <c r="O144" s="11"/>
      <c r="P144" s="11"/>
      <c r="R144" s="12">
        <v>12.367000000000001</v>
      </c>
      <c r="S144" s="12">
        <v>5.4379999999999997</v>
      </c>
      <c r="T144" s="12">
        <v>10.565</v>
      </c>
      <c r="U144" s="12">
        <v>12.375999999999999</v>
      </c>
      <c r="V144" s="12">
        <v>7.0180732991140005</v>
      </c>
      <c r="W144" s="12">
        <v>11.481</v>
      </c>
      <c r="X144" s="12">
        <v>20.190999999999999</v>
      </c>
      <c r="Y144" s="12">
        <v>4.859</v>
      </c>
      <c r="Z144" s="12">
        <v>9.6809999999999992</v>
      </c>
      <c r="AA144" s="12">
        <v>16.423999999999999</v>
      </c>
      <c r="AB144" s="12">
        <v>15.464</v>
      </c>
      <c r="AC144" s="12">
        <v>7.8410000000000002</v>
      </c>
      <c r="AD144" s="11">
        <f t="shared" si="83"/>
        <v>7.8410000000000002</v>
      </c>
      <c r="AE144" s="11">
        <f t="shared" si="84"/>
        <v>7.8410000000000002</v>
      </c>
      <c r="AF144" s="11">
        <f t="shared" si="84"/>
        <v>7.8410000000000002</v>
      </c>
      <c r="AG144" s="11">
        <f t="shared" si="84"/>
        <v>7.8410000000000002</v>
      </c>
      <c r="AH144" s="11">
        <f t="shared" si="84"/>
        <v>7.8410000000000002</v>
      </c>
      <c r="AI144" s="11">
        <f t="shared" si="84"/>
        <v>7.8410000000000002</v>
      </c>
      <c r="AJ144" s="11">
        <f t="shared" si="84"/>
        <v>7.8410000000000002</v>
      </c>
      <c r="AK144" s="11">
        <f t="shared" si="84"/>
        <v>7.8410000000000002</v>
      </c>
      <c r="AL144" s="11">
        <f t="shared" si="84"/>
        <v>7.8410000000000002</v>
      </c>
      <c r="AM144" s="11">
        <f t="shared" si="84"/>
        <v>7.8410000000000002</v>
      </c>
      <c r="AN144" s="11">
        <f t="shared" si="84"/>
        <v>7.8410000000000002</v>
      </c>
      <c r="AO144" s="11">
        <f t="shared" si="84"/>
        <v>7.8410000000000002</v>
      </c>
      <c r="AP144" s="11">
        <f t="shared" si="84"/>
        <v>7.8410000000000002</v>
      </c>
      <c r="AQ144" s="11">
        <f t="shared" si="84"/>
        <v>7.8410000000000002</v>
      </c>
      <c r="AR144" s="11">
        <f t="shared" si="84"/>
        <v>7.8410000000000002</v>
      </c>
      <c r="AS144" s="11">
        <f t="shared" si="84"/>
        <v>7.8410000000000002</v>
      </c>
      <c r="AT144" s="11">
        <f t="shared" si="84"/>
        <v>7.8410000000000002</v>
      </c>
      <c r="AU144" s="11">
        <f t="shared" si="84"/>
        <v>7.8410000000000002</v>
      </c>
      <c r="AV144" s="11">
        <f t="shared" si="84"/>
        <v>7.8410000000000002</v>
      </c>
      <c r="AW144" s="11">
        <f t="shared" si="84"/>
        <v>7.8410000000000002</v>
      </c>
      <c r="AX144" s="11">
        <f t="shared" si="84"/>
        <v>7.8410000000000002</v>
      </c>
      <c r="AY144" s="11">
        <f t="shared" si="84"/>
        <v>7.8410000000000002</v>
      </c>
      <c r="AZ144" s="11">
        <f t="shared" si="84"/>
        <v>7.8410000000000002</v>
      </c>
      <c r="BA144" s="11">
        <f t="shared" si="84"/>
        <v>7.8410000000000002</v>
      </c>
      <c r="BB144" s="8" t="s">
        <v>75</v>
      </c>
    </row>
    <row r="145" spans="2:54" s="2" customFormat="1" x14ac:dyDescent="0.2">
      <c r="B145" s="2" t="s">
        <v>92</v>
      </c>
      <c r="C145" s="45" t="s">
        <v>187</v>
      </c>
      <c r="E145" s="11"/>
      <c r="F145" s="13">
        <f t="shared" si="81"/>
        <v>403.3659824904999</v>
      </c>
      <c r="G145" s="13">
        <f t="shared" si="81"/>
        <v>323.19200000000006</v>
      </c>
      <c r="H145" s="13">
        <f t="shared" si="81"/>
        <v>445.96300000000008</v>
      </c>
      <c r="I145" s="13">
        <f t="shared" ca="1" si="81"/>
        <v>437.61029111568865</v>
      </c>
      <c r="J145" s="13">
        <f t="shared" ca="1" si="81"/>
        <v>445.24110679660936</v>
      </c>
      <c r="K145" s="13">
        <f t="shared" ca="1" si="81"/>
        <v>450.53028164792931</v>
      </c>
      <c r="L145" s="13">
        <f t="shared" ca="1" si="81"/>
        <v>456.35678290079943</v>
      </c>
      <c r="M145" s="13">
        <f t="shared" ca="1" si="81"/>
        <v>462.77937764296843</v>
      </c>
      <c r="N145" s="13">
        <f t="shared" ca="1" si="81"/>
        <v>469.61155319280482</v>
      </c>
      <c r="O145" s="13"/>
      <c r="P145" s="13"/>
      <c r="R145" s="13">
        <f t="shared" ref="R145:AD145" si="85">+SUM(R133:R144)</f>
        <v>326.53500000000003</v>
      </c>
      <c r="S145" s="13">
        <f t="shared" si="85"/>
        <v>350.04899999999998</v>
      </c>
      <c r="T145" s="13">
        <f t="shared" si="85"/>
        <v>324.84099999999995</v>
      </c>
      <c r="U145" s="13">
        <f t="shared" si="85"/>
        <v>403.3659824904999</v>
      </c>
      <c r="V145" s="13">
        <f t="shared" si="85"/>
        <v>323.2450038803824</v>
      </c>
      <c r="W145" s="13">
        <f t="shared" si="85"/>
        <v>242.32900000000001</v>
      </c>
      <c r="X145" s="13">
        <f t="shared" si="85"/>
        <v>264.79099999999994</v>
      </c>
      <c r="Y145" s="13">
        <f t="shared" si="85"/>
        <v>323.19200000000006</v>
      </c>
      <c r="Z145" s="13">
        <f t="shared" si="85"/>
        <v>407.28640517326534</v>
      </c>
      <c r="AA145" s="13">
        <f t="shared" si="85"/>
        <v>473.98299999999995</v>
      </c>
      <c r="AB145" s="13">
        <f t="shared" si="85"/>
        <v>383.02146773333334</v>
      </c>
      <c r="AC145" s="13">
        <f t="shared" si="85"/>
        <v>445.96300000000008</v>
      </c>
      <c r="AD145" s="13">
        <f t="shared" ca="1" si="85"/>
        <v>443.63664441680584</v>
      </c>
      <c r="AE145" s="13">
        <f t="shared" ref="AE145:BA145" ca="1" si="86">+SUM(AE133:AE144)</f>
        <v>463.71534723227262</v>
      </c>
      <c r="AF145" s="13">
        <f t="shared" ca="1" si="86"/>
        <v>460.7258226264974</v>
      </c>
      <c r="AG145" s="13">
        <f t="shared" ca="1" si="86"/>
        <v>437.61029111568865</v>
      </c>
      <c r="AH145" s="13">
        <f t="shared" ca="1" si="86"/>
        <v>451.95903408017875</v>
      </c>
      <c r="AI145" s="13">
        <f t="shared" ca="1" si="86"/>
        <v>474.5650296240587</v>
      </c>
      <c r="AJ145" s="13">
        <f t="shared" ca="1" si="86"/>
        <v>471.21412051614402</v>
      </c>
      <c r="AK145" s="13">
        <f t="shared" ca="1" si="86"/>
        <v>445.24110679660936</v>
      </c>
      <c r="AL145" s="13">
        <f t="shared" ca="1" si="86"/>
        <v>457.91552890732834</v>
      </c>
      <c r="AM145" s="13">
        <f t="shared" ca="1" si="86"/>
        <v>483.30629393784073</v>
      </c>
      <c r="AN145" s="13">
        <f t="shared" ca="1" si="86"/>
        <v>479.63072040133977</v>
      </c>
      <c r="AO145" s="13">
        <f t="shared" ca="1" si="86"/>
        <v>450.53028164792931</v>
      </c>
      <c r="AP145" s="13">
        <f t="shared" ca="1" si="86"/>
        <v>463.51657529585532</v>
      </c>
      <c r="AQ145" s="13">
        <f t="shared" ca="1" si="86"/>
        <v>492.99323732704573</v>
      </c>
      <c r="AR145" s="13">
        <f t="shared" ca="1" si="86"/>
        <v>488.95927310475184</v>
      </c>
      <c r="AS145" s="13">
        <f t="shared" ca="1" si="86"/>
        <v>456.35678290079943</v>
      </c>
      <c r="AT145" s="13">
        <f t="shared" ca="1" si="86"/>
        <v>471.73016187947428</v>
      </c>
      <c r="AU145" s="13">
        <f t="shared" ca="1" si="86"/>
        <v>503.73160944369795</v>
      </c>
      <c r="AV145" s="13">
        <f t="shared" ca="1" si="86"/>
        <v>499.30193830084659</v>
      </c>
      <c r="AW145" s="13">
        <f t="shared" ca="1" si="86"/>
        <v>462.77937764296843</v>
      </c>
      <c r="AX145" s="13">
        <f t="shared" ca="1" si="86"/>
        <v>479.44148861999292</v>
      </c>
      <c r="AY145" s="13">
        <f t="shared" ca="1" si="86"/>
        <v>515.17598051730556</v>
      </c>
      <c r="AZ145" s="13">
        <f t="shared" ca="1" si="86"/>
        <v>510.32368311041046</v>
      </c>
      <c r="BA145" s="13">
        <f t="shared" ca="1" si="86"/>
        <v>469.61155319280482</v>
      </c>
      <c r="BB145" s="83" t="s">
        <v>75</v>
      </c>
    </row>
    <row r="146" spans="2:54" x14ac:dyDescent="0.2"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BB146" s="8" t="s">
        <v>75</v>
      </c>
    </row>
    <row r="147" spans="2:54" x14ac:dyDescent="0.2">
      <c r="B147" s="19" t="s">
        <v>115</v>
      </c>
      <c r="C147" s="45" t="s">
        <v>187</v>
      </c>
      <c r="D147" s="19"/>
      <c r="E147" s="11"/>
      <c r="F147" s="11">
        <f t="shared" ref="F147:N152" si="87">+SUMIFS(147:147,$3:$3,"4Q"&amp;RIGHT(F$3,2))</f>
        <v>2745.8629999999998</v>
      </c>
      <c r="G147" s="11">
        <f t="shared" si="87"/>
        <v>2818.2339999999999</v>
      </c>
      <c r="H147" s="11">
        <f t="shared" si="87"/>
        <v>3537.18</v>
      </c>
      <c r="I147" s="11">
        <f t="shared" ca="1" si="87"/>
        <v>3947.7587599751191</v>
      </c>
      <c r="J147" s="11">
        <f t="shared" ca="1" si="87"/>
        <v>4005.2941945622092</v>
      </c>
      <c r="K147" s="11">
        <f t="shared" ca="1" si="87"/>
        <v>4063.476054152778</v>
      </c>
      <c r="L147" s="11">
        <f t="shared" ca="1" si="87"/>
        <v>4122.307131506167</v>
      </c>
      <c r="M147" s="11">
        <f t="shared" ca="1" si="87"/>
        <v>4181.7900715170299</v>
      </c>
      <c r="N147" s="11">
        <f t="shared" ca="1" si="87"/>
        <v>4241.9273641634645</v>
      </c>
      <c r="O147" s="11"/>
      <c r="P147" s="11"/>
      <c r="R147" s="12">
        <v>2451.337</v>
      </c>
      <c r="S147" s="12">
        <v>2781.538</v>
      </c>
      <c r="T147" s="12">
        <v>2892.192</v>
      </c>
      <c r="U147" s="12">
        <v>2745.8629999999998</v>
      </c>
      <c r="V147" s="12">
        <v>2768.4405487426111</v>
      </c>
      <c r="W147" s="12">
        <v>2760.8910000000001</v>
      </c>
      <c r="X147" s="12">
        <v>2981.5320000000002</v>
      </c>
      <c r="Y147" s="12">
        <v>2818.2339999999999</v>
      </c>
      <c r="Z147" s="12">
        <v>3598.9720000000002</v>
      </c>
      <c r="AA147" s="12">
        <v>3754.0010000000002</v>
      </c>
      <c r="AB147" s="12">
        <v>3881.7060000000001</v>
      </c>
      <c r="AC147" s="12">
        <v>3537.18</v>
      </c>
      <c r="AD147" s="166">
        <f ca="1">+SUMIFS(Debt!$18:$18,Debt!$3:$3,AD$3)</f>
        <v>3911.1372335999999</v>
      </c>
      <c r="AE147" s="166">
        <f ca="1">+SUMIFS(Debt!$18:$18,Debt!$3:$3,AE$3)</f>
        <v>3919.2325405751249</v>
      </c>
      <c r="AF147" s="166">
        <f ca="1">+SUMIFS(Debt!$18:$18,Debt!$3:$3,AF$3)</f>
        <v>3939.6440805779871</v>
      </c>
      <c r="AG147" s="166">
        <f ca="1">+SUMIFS(Debt!$18:$18,Debt!$3:$3,AG$3)</f>
        <v>3947.7587599751191</v>
      </c>
      <c r="AH147" s="166">
        <f ca="1">+SUMIFS(Debt!$18:$18,Debt!$3:$3,AH$3)</f>
        <v>3968.3122214675336</v>
      </c>
      <c r="AI147" s="166">
        <f ca="1">+SUMIFS(Debt!$18:$18,Debt!$3:$3,AI$3)</f>
        <v>3976.4458542783118</v>
      </c>
      <c r="AJ147" s="166">
        <f ca="1">+SUMIFS(Debt!$18:$18,Debt!$3:$3,AJ$3)</f>
        <v>3997.1420376329311</v>
      </c>
      <c r="AK147" s="166">
        <f ca="1">+SUMIFS(Debt!$18:$18,Debt!$3:$3,AK$3)</f>
        <v>4005.2941945622092</v>
      </c>
      <c r="AL147" s="166">
        <f ca="1">+SUMIFS(Debt!$18:$18,Debt!$3:$3,AL$3)</f>
        <v>4026.1339019978418</v>
      </c>
      <c r="AM147" s="166">
        <f ca="1">+SUMIFS(Debt!$18:$18,Debt!$3:$3,AM$3)</f>
        <v>4034.3041433001604</v>
      </c>
      <c r="AN147" s="166">
        <f ca="1">+SUMIFS(Debt!$18:$18,Debt!$3:$3,AN$3)</f>
        <v>4055.2881788389682</v>
      </c>
      <c r="AO147" s="166">
        <f ca="1">+SUMIFS(Debt!$18:$18,Debt!$3:$3,AO$3)</f>
        <v>4063.476054152778</v>
      </c>
      <c r="AP147" s="166">
        <f ca="1">+SUMIFS(Debt!$18:$18,Debt!$3:$3,AP$3)</f>
        <v>4084.6052235764241</v>
      </c>
      <c r="AQ147" s="166">
        <f ca="1">+SUMIFS(Debt!$18:$18,Debt!$3:$3,AQ$3)</f>
        <v>4092.8102717560628</v>
      </c>
      <c r="AR147" s="166">
        <f ca="1">+SUMIFS(Debt!$18:$18,Debt!$3:$3,AR$3)</f>
        <v>4114.0853825608192</v>
      </c>
      <c r="AS147" s="166">
        <f ca="1">+SUMIFS(Debt!$18:$18,Debt!$3:$3,AS$3)</f>
        <v>4122.307131506167</v>
      </c>
      <c r="AT147" s="166">
        <f ca="1">+SUMIFS(Debt!$18:$18,Debt!$3:$3,AT$3)</f>
        <v>4143.7289928569453</v>
      </c>
      <c r="AU147" s="166">
        <f ca="1">+SUMIFS(Debt!$18:$18,Debt!$3:$3,AU$3)</f>
        <v>4151.9669593407752</v>
      </c>
      <c r="AV147" s="166">
        <f ca="1">+SUMIFS(Debt!$18:$18,Debt!$3:$3,AV$3)</f>
        <v>4173.5363820240627</v>
      </c>
      <c r="AW147" s="166">
        <f ca="1">+SUMIFS(Debt!$18:$18,Debt!$3:$3,AW$3)</f>
        <v>4181.7900715170299</v>
      </c>
      <c r="AX147" s="166">
        <f ca="1">+SUMIFS(Debt!$18:$18,Debt!$3:$3,AX$3)</f>
        <v>4203.5078678927366</v>
      </c>
      <c r="AY147" s="166">
        <f ca="1">+SUMIFS(Debt!$18:$18,Debt!$3:$3,AY$3)</f>
        <v>4211.7767743859749</v>
      </c>
      <c r="AZ147" s="166">
        <f ca="1">+SUMIFS(Debt!$18:$18,Debt!$3:$3,AZ$3)</f>
        <v>4233.6437583381448</v>
      </c>
      <c r="BA147" s="166">
        <f ca="1">+SUMIFS(Debt!$18:$18,Debt!$3:$3,BA$3)</f>
        <v>4241.9273641634645</v>
      </c>
      <c r="BB147" s="8" t="s">
        <v>75</v>
      </c>
    </row>
    <row r="148" spans="2:54" x14ac:dyDescent="0.2">
      <c r="B148" s="19" t="s">
        <v>121</v>
      </c>
      <c r="C148" s="45" t="s">
        <v>187</v>
      </c>
      <c r="D148" s="19"/>
      <c r="E148" s="11"/>
      <c r="F148" s="11">
        <f t="shared" si="87"/>
        <v>0</v>
      </c>
      <c r="G148" s="11">
        <f t="shared" si="87"/>
        <v>32.667999999999999</v>
      </c>
      <c r="H148" s="11">
        <f t="shared" si="87"/>
        <v>150.30099999999999</v>
      </c>
      <c r="I148" s="11">
        <f t="shared" si="87"/>
        <v>150.30099999999999</v>
      </c>
      <c r="J148" s="11">
        <f t="shared" si="87"/>
        <v>150.30099999999999</v>
      </c>
      <c r="K148" s="11">
        <f t="shared" si="87"/>
        <v>150.30099999999999</v>
      </c>
      <c r="L148" s="11">
        <f t="shared" si="87"/>
        <v>150.30099999999999</v>
      </c>
      <c r="M148" s="11">
        <f t="shared" si="87"/>
        <v>150.30099999999999</v>
      </c>
      <c r="N148" s="11">
        <f t="shared" si="87"/>
        <v>150.30099999999999</v>
      </c>
      <c r="O148" s="11"/>
      <c r="P148" s="11"/>
      <c r="R148" s="12">
        <v>0</v>
      </c>
      <c r="S148" s="12">
        <v>0</v>
      </c>
      <c r="T148" s="12">
        <v>0</v>
      </c>
      <c r="U148" s="12">
        <v>0</v>
      </c>
      <c r="V148" s="12">
        <v>28.003816427512909</v>
      </c>
      <c r="W148" s="12">
        <v>28.004000000000001</v>
      </c>
      <c r="X148" s="12">
        <v>28.030999999999999</v>
      </c>
      <c r="Y148" s="12">
        <v>32.667999999999999</v>
      </c>
      <c r="Z148" s="12">
        <v>23.874594826734704</v>
      </c>
      <c r="AA148" s="12">
        <v>24.584</v>
      </c>
      <c r="AB148" s="12">
        <v>22.486000000000001</v>
      </c>
      <c r="AC148" s="12">
        <v>150.30099999999999</v>
      </c>
      <c r="AD148" s="11">
        <f t="shared" ref="AD148:AS148" si="88">+AC148</f>
        <v>150.30099999999999</v>
      </c>
      <c r="AE148" s="11">
        <f t="shared" si="88"/>
        <v>150.30099999999999</v>
      </c>
      <c r="AF148" s="11">
        <f t="shared" si="88"/>
        <v>150.30099999999999</v>
      </c>
      <c r="AG148" s="11">
        <f t="shared" si="88"/>
        <v>150.30099999999999</v>
      </c>
      <c r="AH148" s="11">
        <f t="shared" si="88"/>
        <v>150.30099999999999</v>
      </c>
      <c r="AI148" s="11">
        <f t="shared" si="88"/>
        <v>150.30099999999999</v>
      </c>
      <c r="AJ148" s="11">
        <f t="shared" si="88"/>
        <v>150.30099999999999</v>
      </c>
      <c r="AK148" s="11">
        <f t="shared" si="88"/>
        <v>150.30099999999999</v>
      </c>
      <c r="AL148" s="11">
        <f t="shared" si="88"/>
        <v>150.30099999999999</v>
      </c>
      <c r="AM148" s="11">
        <f t="shared" si="88"/>
        <v>150.30099999999999</v>
      </c>
      <c r="AN148" s="11">
        <f t="shared" si="88"/>
        <v>150.30099999999999</v>
      </c>
      <c r="AO148" s="11">
        <f t="shared" si="88"/>
        <v>150.30099999999999</v>
      </c>
      <c r="AP148" s="11">
        <f t="shared" si="88"/>
        <v>150.30099999999999</v>
      </c>
      <c r="AQ148" s="11">
        <f t="shared" si="88"/>
        <v>150.30099999999999</v>
      </c>
      <c r="AR148" s="11">
        <f t="shared" si="88"/>
        <v>150.30099999999999</v>
      </c>
      <c r="AS148" s="11">
        <f t="shared" si="88"/>
        <v>150.30099999999999</v>
      </c>
      <c r="AT148" s="11">
        <f t="shared" ref="AE148:BA151" si="89">+AS148</f>
        <v>150.30099999999999</v>
      </c>
      <c r="AU148" s="11">
        <f t="shared" si="89"/>
        <v>150.30099999999999</v>
      </c>
      <c r="AV148" s="11">
        <f t="shared" si="89"/>
        <v>150.30099999999999</v>
      </c>
      <c r="AW148" s="11">
        <f t="shared" si="89"/>
        <v>150.30099999999999</v>
      </c>
      <c r="AX148" s="11">
        <f t="shared" si="89"/>
        <v>150.30099999999999</v>
      </c>
      <c r="AY148" s="11">
        <f t="shared" si="89"/>
        <v>150.30099999999999</v>
      </c>
      <c r="AZ148" s="11">
        <f t="shared" si="89"/>
        <v>150.30099999999999</v>
      </c>
      <c r="BA148" s="11">
        <f t="shared" si="89"/>
        <v>150.30099999999999</v>
      </c>
      <c r="BB148" s="8" t="s">
        <v>75</v>
      </c>
    </row>
    <row r="149" spans="2:54" x14ac:dyDescent="0.2">
      <c r="B149" s="19" t="s">
        <v>78</v>
      </c>
      <c r="C149" s="45" t="s">
        <v>187</v>
      </c>
      <c r="D149" s="19"/>
      <c r="E149" s="11"/>
      <c r="F149" s="11">
        <f t="shared" si="87"/>
        <v>0</v>
      </c>
      <c r="G149" s="11">
        <f t="shared" si="87"/>
        <v>0</v>
      </c>
      <c r="H149" s="11">
        <f t="shared" si="87"/>
        <v>55.225999999999999</v>
      </c>
      <c r="I149" s="11">
        <f t="shared" si="87"/>
        <v>55.225999999999999</v>
      </c>
      <c r="J149" s="11">
        <f t="shared" si="87"/>
        <v>55.225999999999999</v>
      </c>
      <c r="K149" s="11">
        <f t="shared" si="87"/>
        <v>55.225999999999999</v>
      </c>
      <c r="L149" s="11">
        <f t="shared" si="87"/>
        <v>55.225999999999999</v>
      </c>
      <c r="M149" s="11">
        <f t="shared" si="87"/>
        <v>55.225999999999999</v>
      </c>
      <c r="N149" s="11">
        <f t="shared" si="87"/>
        <v>55.225999999999999</v>
      </c>
      <c r="O149" s="11"/>
      <c r="P149" s="11"/>
      <c r="R149" s="12">
        <v>0</v>
      </c>
      <c r="S149" s="12">
        <v>0</v>
      </c>
      <c r="T149" s="12">
        <v>0</v>
      </c>
      <c r="U149" s="12">
        <v>0</v>
      </c>
      <c r="V149" s="12">
        <v>0</v>
      </c>
      <c r="W149" s="12">
        <v>0</v>
      </c>
      <c r="X149" s="12">
        <v>0</v>
      </c>
      <c r="Y149" s="12">
        <v>0</v>
      </c>
      <c r="Z149" s="12">
        <v>67.5</v>
      </c>
      <c r="AA149" s="12">
        <v>67.5</v>
      </c>
      <c r="AB149" s="12">
        <v>3.6225322666666666</v>
      </c>
      <c r="AC149" s="12">
        <v>55.225999999999999</v>
      </c>
      <c r="AD149" s="11">
        <f>+AC149</f>
        <v>55.225999999999999</v>
      </c>
      <c r="AE149" s="11">
        <f t="shared" si="89"/>
        <v>55.225999999999999</v>
      </c>
      <c r="AF149" s="11">
        <f t="shared" si="89"/>
        <v>55.225999999999999</v>
      </c>
      <c r="AG149" s="11">
        <f t="shared" si="89"/>
        <v>55.225999999999999</v>
      </c>
      <c r="AH149" s="11">
        <f t="shared" si="89"/>
        <v>55.225999999999999</v>
      </c>
      <c r="AI149" s="11">
        <f t="shared" si="89"/>
        <v>55.225999999999999</v>
      </c>
      <c r="AJ149" s="11">
        <f t="shared" si="89"/>
        <v>55.225999999999999</v>
      </c>
      <c r="AK149" s="11">
        <f t="shared" si="89"/>
        <v>55.225999999999999</v>
      </c>
      <c r="AL149" s="11">
        <f t="shared" si="89"/>
        <v>55.225999999999999</v>
      </c>
      <c r="AM149" s="11">
        <f t="shared" si="89"/>
        <v>55.225999999999999</v>
      </c>
      <c r="AN149" s="11">
        <f t="shared" si="89"/>
        <v>55.225999999999999</v>
      </c>
      <c r="AO149" s="11">
        <f t="shared" si="89"/>
        <v>55.225999999999999</v>
      </c>
      <c r="AP149" s="11">
        <f t="shared" si="89"/>
        <v>55.225999999999999</v>
      </c>
      <c r="AQ149" s="11">
        <f t="shared" si="89"/>
        <v>55.225999999999999</v>
      </c>
      <c r="AR149" s="11">
        <f t="shared" si="89"/>
        <v>55.225999999999999</v>
      </c>
      <c r="AS149" s="11">
        <f t="shared" si="89"/>
        <v>55.225999999999999</v>
      </c>
      <c r="AT149" s="11">
        <f t="shared" si="89"/>
        <v>55.225999999999999</v>
      </c>
      <c r="AU149" s="11">
        <f t="shared" si="89"/>
        <v>55.225999999999999</v>
      </c>
      <c r="AV149" s="11">
        <f t="shared" si="89"/>
        <v>55.225999999999999</v>
      </c>
      <c r="AW149" s="11">
        <f t="shared" si="89"/>
        <v>55.225999999999999</v>
      </c>
      <c r="AX149" s="11">
        <f t="shared" si="89"/>
        <v>55.225999999999999</v>
      </c>
      <c r="AY149" s="11">
        <f t="shared" si="89"/>
        <v>55.225999999999999</v>
      </c>
      <c r="AZ149" s="11">
        <f t="shared" si="89"/>
        <v>55.225999999999999</v>
      </c>
      <c r="BA149" s="11">
        <f t="shared" si="89"/>
        <v>55.225999999999999</v>
      </c>
      <c r="BB149" s="8" t="s">
        <v>75</v>
      </c>
    </row>
    <row r="150" spans="2:54" x14ac:dyDescent="0.2">
      <c r="B150" s="19" t="s">
        <v>29</v>
      </c>
      <c r="C150" s="45" t="s">
        <v>187</v>
      </c>
      <c r="D150" s="19"/>
      <c r="E150" s="11"/>
      <c r="F150" s="11">
        <f t="shared" si="87"/>
        <v>7.923</v>
      </c>
      <c r="G150" s="11">
        <f t="shared" si="87"/>
        <v>0</v>
      </c>
      <c r="H150" s="11">
        <f t="shared" si="87"/>
        <v>0</v>
      </c>
      <c r="I150" s="11">
        <f t="shared" si="87"/>
        <v>0</v>
      </c>
      <c r="J150" s="11">
        <f t="shared" si="87"/>
        <v>0</v>
      </c>
      <c r="K150" s="11">
        <f t="shared" si="87"/>
        <v>0</v>
      </c>
      <c r="L150" s="11">
        <f t="shared" si="87"/>
        <v>0</v>
      </c>
      <c r="M150" s="11">
        <f t="shared" si="87"/>
        <v>0</v>
      </c>
      <c r="N150" s="11">
        <f t="shared" si="87"/>
        <v>0</v>
      </c>
      <c r="O150" s="11"/>
      <c r="P150" s="11"/>
      <c r="R150" s="12">
        <v>0</v>
      </c>
      <c r="S150" s="12">
        <v>9.1790000000000003</v>
      </c>
      <c r="T150" s="12">
        <v>3.7240000000000002</v>
      </c>
      <c r="U150" s="12">
        <v>7.923</v>
      </c>
      <c r="V150" s="12">
        <v>0.54753966000000109</v>
      </c>
      <c r="W150" s="12">
        <v>7.157</v>
      </c>
      <c r="X150" s="12">
        <v>0</v>
      </c>
      <c r="Y150" s="12">
        <v>0</v>
      </c>
      <c r="Z150" s="12">
        <v>0</v>
      </c>
      <c r="AA150" s="12">
        <v>0</v>
      </c>
      <c r="AB150" s="12">
        <v>67.5</v>
      </c>
      <c r="AC150" s="12">
        <v>0</v>
      </c>
      <c r="AD150" s="11">
        <f>+AC150</f>
        <v>0</v>
      </c>
      <c r="AE150" s="11">
        <f t="shared" si="89"/>
        <v>0</v>
      </c>
      <c r="AF150" s="11">
        <f t="shared" si="89"/>
        <v>0</v>
      </c>
      <c r="AG150" s="11">
        <f t="shared" si="89"/>
        <v>0</v>
      </c>
      <c r="AH150" s="11">
        <f t="shared" si="89"/>
        <v>0</v>
      </c>
      <c r="AI150" s="11">
        <f t="shared" si="89"/>
        <v>0</v>
      </c>
      <c r="AJ150" s="11">
        <f t="shared" si="89"/>
        <v>0</v>
      </c>
      <c r="AK150" s="11">
        <f t="shared" si="89"/>
        <v>0</v>
      </c>
      <c r="AL150" s="11">
        <f t="shared" si="89"/>
        <v>0</v>
      </c>
      <c r="AM150" s="11">
        <f t="shared" si="89"/>
        <v>0</v>
      </c>
      <c r="AN150" s="11">
        <f t="shared" si="89"/>
        <v>0</v>
      </c>
      <c r="AO150" s="11">
        <f t="shared" si="89"/>
        <v>0</v>
      </c>
      <c r="AP150" s="11">
        <f t="shared" si="89"/>
        <v>0</v>
      </c>
      <c r="AQ150" s="11">
        <f t="shared" si="89"/>
        <v>0</v>
      </c>
      <c r="AR150" s="11">
        <f t="shared" si="89"/>
        <v>0</v>
      </c>
      <c r="AS150" s="11">
        <f t="shared" si="89"/>
        <v>0</v>
      </c>
      <c r="AT150" s="11">
        <f t="shared" si="89"/>
        <v>0</v>
      </c>
      <c r="AU150" s="11">
        <f t="shared" si="89"/>
        <v>0</v>
      </c>
      <c r="AV150" s="11">
        <f t="shared" si="89"/>
        <v>0</v>
      </c>
      <c r="AW150" s="11">
        <f t="shared" si="89"/>
        <v>0</v>
      </c>
      <c r="AX150" s="11">
        <f t="shared" si="89"/>
        <v>0</v>
      </c>
      <c r="AY150" s="11">
        <f t="shared" si="89"/>
        <v>0</v>
      </c>
      <c r="AZ150" s="11">
        <f t="shared" si="89"/>
        <v>0</v>
      </c>
      <c r="BA150" s="11">
        <f t="shared" si="89"/>
        <v>0</v>
      </c>
      <c r="BB150" s="8" t="s">
        <v>75</v>
      </c>
    </row>
    <row r="151" spans="2:54" x14ac:dyDescent="0.2">
      <c r="B151" s="19" t="s">
        <v>123</v>
      </c>
      <c r="C151" s="45" t="s">
        <v>187</v>
      </c>
      <c r="D151" s="19"/>
      <c r="E151" s="11"/>
      <c r="F151" s="11">
        <f t="shared" si="87"/>
        <v>0</v>
      </c>
      <c r="G151" s="11">
        <f t="shared" si="87"/>
        <v>0</v>
      </c>
      <c r="H151" s="11">
        <f t="shared" si="87"/>
        <v>0</v>
      </c>
      <c r="I151" s="11">
        <f t="shared" si="87"/>
        <v>0</v>
      </c>
      <c r="J151" s="11">
        <f t="shared" si="87"/>
        <v>0</v>
      </c>
      <c r="K151" s="11">
        <f t="shared" si="87"/>
        <v>0</v>
      </c>
      <c r="L151" s="11">
        <f t="shared" si="87"/>
        <v>0</v>
      </c>
      <c r="M151" s="11">
        <f t="shared" si="87"/>
        <v>0</v>
      </c>
      <c r="N151" s="11">
        <f t="shared" si="87"/>
        <v>0</v>
      </c>
      <c r="O151" s="11"/>
      <c r="P151" s="11"/>
      <c r="R151" s="12">
        <v>0</v>
      </c>
      <c r="S151" s="12">
        <v>0</v>
      </c>
      <c r="T151" s="12">
        <v>0</v>
      </c>
      <c r="U151" s="12">
        <v>0</v>
      </c>
      <c r="V151" s="12">
        <v>0.129062172063</v>
      </c>
      <c r="W151" s="12">
        <v>0</v>
      </c>
      <c r="X151" s="12">
        <v>0</v>
      </c>
      <c r="Y151" s="12">
        <v>0</v>
      </c>
      <c r="Z151" s="12">
        <v>0</v>
      </c>
      <c r="AA151" s="12">
        <v>0</v>
      </c>
      <c r="AB151" s="12">
        <v>0</v>
      </c>
      <c r="AC151" s="12">
        <v>0</v>
      </c>
      <c r="AD151" s="11">
        <f>+AC151</f>
        <v>0</v>
      </c>
      <c r="AE151" s="11">
        <f t="shared" si="89"/>
        <v>0</v>
      </c>
      <c r="AF151" s="11">
        <f t="shared" si="89"/>
        <v>0</v>
      </c>
      <c r="AG151" s="11">
        <f t="shared" si="89"/>
        <v>0</v>
      </c>
      <c r="AH151" s="11">
        <f t="shared" si="89"/>
        <v>0</v>
      </c>
      <c r="AI151" s="11">
        <f t="shared" si="89"/>
        <v>0</v>
      </c>
      <c r="AJ151" s="11">
        <f t="shared" si="89"/>
        <v>0</v>
      </c>
      <c r="AK151" s="11">
        <f t="shared" si="89"/>
        <v>0</v>
      </c>
      <c r="AL151" s="11">
        <f t="shared" si="89"/>
        <v>0</v>
      </c>
      <c r="AM151" s="11">
        <f t="shared" si="89"/>
        <v>0</v>
      </c>
      <c r="AN151" s="11">
        <f t="shared" si="89"/>
        <v>0</v>
      </c>
      <c r="AO151" s="11">
        <f t="shared" si="89"/>
        <v>0</v>
      </c>
      <c r="AP151" s="11">
        <f t="shared" si="89"/>
        <v>0</v>
      </c>
      <c r="AQ151" s="11">
        <f t="shared" si="89"/>
        <v>0</v>
      </c>
      <c r="AR151" s="11">
        <f t="shared" si="89"/>
        <v>0</v>
      </c>
      <c r="AS151" s="11">
        <f t="shared" si="89"/>
        <v>0</v>
      </c>
      <c r="AT151" s="11">
        <f t="shared" si="89"/>
        <v>0</v>
      </c>
      <c r="AU151" s="11">
        <f t="shared" si="89"/>
        <v>0</v>
      </c>
      <c r="AV151" s="11">
        <f t="shared" si="89"/>
        <v>0</v>
      </c>
      <c r="AW151" s="11">
        <f t="shared" si="89"/>
        <v>0</v>
      </c>
      <c r="AX151" s="11">
        <f t="shared" si="89"/>
        <v>0</v>
      </c>
      <c r="AY151" s="11">
        <f t="shared" si="89"/>
        <v>0</v>
      </c>
      <c r="AZ151" s="11">
        <f t="shared" si="89"/>
        <v>0</v>
      </c>
      <c r="BA151" s="11">
        <f t="shared" si="89"/>
        <v>0</v>
      </c>
      <c r="BB151" s="8" t="s">
        <v>75</v>
      </c>
    </row>
    <row r="152" spans="2:54" s="2" customFormat="1" x14ac:dyDescent="0.2">
      <c r="B152" s="2" t="s">
        <v>93</v>
      </c>
      <c r="C152" s="45" t="s">
        <v>187</v>
      </c>
      <c r="E152" s="11"/>
      <c r="F152" s="13">
        <f t="shared" si="87"/>
        <v>2753.7859999999996</v>
      </c>
      <c r="G152" s="13">
        <f t="shared" si="87"/>
        <v>2850.902</v>
      </c>
      <c r="H152" s="13">
        <f t="shared" si="87"/>
        <v>3742.7069999999999</v>
      </c>
      <c r="I152" s="13">
        <f t="shared" ca="1" si="87"/>
        <v>4153.2857599751187</v>
      </c>
      <c r="J152" s="13">
        <f t="shared" ca="1" si="87"/>
        <v>4210.8211945622088</v>
      </c>
      <c r="K152" s="13">
        <f t="shared" ca="1" si="87"/>
        <v>4269.0030541527776</v>
      </c>
      <c r="L152" s="13">
        <f t="shared" ca="1" si="87"/>
        <v>4327.8341315061671</v>
      </c>
      <c r="M152" s="13">
        <f t="shared" ca="1" si="87"/>
        <v>4387.3170715170299</v>
      </c>
      <c r="N152" s="13">
        <f t="shared" ca="1" si="87"/>
        <v>4447.4543641634646</v>
      </c>
      <c r="O152" s="13"/>
      <c r="P152" s="13"/>
      <c r="R152" s="13">
        <f t="shared" ref="R152:AD152" si="90">+SUM(R147:R151)</f>
        <v>2451.337</v>
      </c>
      <c r="S152" s="13">
        <f t="shared" si="90"/>
        <v>2790.7170000000001</v>
      </c>
      <c r="T152" s="13">
        <f t="shared" si="90"/>
        <v>2895.9160000000002</v>
      </c>
      <c r="U152" s="13">
        <f t="shared" si="90"/>
        <v>2753.7859999999996</v>
      </c>
      <c r="V152" s="13">
        <f t="shared" si="90"/>
        <v>2797.1209670021872</v>
      </c>
      <c r="W152" s="13">
        <f t="shared" si="90"/>
        <v>2796.0520000000001</v>
      </c>
      <c r="X152" s="13">
        <f t="shared" si="90"/>
        <v>3009.5630000000001</v>
      </c>
      <c r="Y152" s="13">
        <f t="shared" si="90"/>
        <v>2850.902</v>
      </c>
      <c r="Z152" s="13">
        <f t="shared" si="90"/>
        <v>3690.3465948267349</v>
      </c>
      <c r="AA152" s="13">
        <f t="shared" si="90"/>
        <v>3846.085</v>
      </c>
      <c r="AB152" s="13">
        <f t="shared" si="90"/>
        <v>3975.3145322666664</v>
      </c>
      <c r="AC152" s="13">
        <f t="shared" si="90"/>
        <v>3742.7069999999999</v>
      </c>
      <c r="AD152" s="13">
        <f t="shared" ca="1" si="90"/>
        <v>4116.6642335999995</v>
      </c>
      <c r="AE152" s="13">
        <f t="shared" ref="AE152:BA152" ca="1" si="91">+SUM(AE147:AE151)</f>
        <v>4124.7595405751244</v>
      </c>
      <c r="AF152" s="13">
        <f t="shared" ca="1" si="91"/>
        <v>4145.1710805779867</v>
      </c>
      <c r="AG152" s="13">
        <f t="shared" ca="1" si="91"/>
        <v>4153.2857599751187</v>
      </c>
      <c r="AH152" s="13">
        <f t="shared" ca="1" si="91"/>
        <v>4173.8392214675332</v>
      </c>
      <c r="AI152" s="13">
        <f t="shared" ca="1" si="91"/>
        <v>4181.9728542783114</v>
      </c>
      <c r="AJ152" s="13">
        <f t="shared" ca="1" si="91"/>
        <v>4202.6690376329307</v>
      </c>
      <c r="AK152" s="13">
        <f t="shared" ca="1" si="91"/>
        <v>4210.8211945622088</v>
      </c>
      <c r="AL152" s="13">
        <f t="shared" ca="1" si="91"/>
        <v>4231.6609019978414</v>
      </c>
      <c r="AM152" s="13">
        <f t="shared" ca="1" si="91"/>
        <v>4239.83114330016</v>
      </c>
      <c r="AN152" s="13">
        <f t="shared" ca="1" si="91"/>
        <v>4260.8151788389678</v>
      </c>
      <c r="AO152" s="13">
        <f t="shared" ca="1" si="91"/>
        <v>4269.0030541527776</v>
      </c>
      <c r="AP152" s="13">
        <f t="shared" ca="1" si="91"/>
        <v>4290.1322235764237</v>
      </c>
      <c r="AQ152" s="13">
        <f t="shared" ca="1" si="91"/>
        <v>4298.3372717560624</v>
      </c>
      <c r="AR152" s="13">
        <f t="shared" ca="1" si="91"/>
        <v>4319.6123825608192</v>
      </c>
      <c r="AS152" s="13">
        <f t="shared" ca="1" si="91"/>
        <v>4327.8341315061671</v>
      </c>
      <c r="AT152" s="13">
        <f t="shared" ca="1" si="91"/>
        <v>4349.2559928569453</v>
      </c>
      <c r="AU152" s="13">
        <f t="shared" ca="1" si="91"/>
        <v>4357.4939593407753</v>
      </c>
      <c r="AV152" s="13">
        <f t="shared" ca="1" si="91"/>
        <v>4379.0633820240628</v>
      </c>
      <c r="AW152" s="13">
        <f t="shared" ca="1" si="91"/>
        <v>4387.3170715170299</v>
      </c>
      <c r="AX152" s="13">
        <f t="shared" ca="1" si="91"/>
        <v>4409.0348678927367</v>
      </c>
      <c r="AY152" s="13">
        <f t="shared" ca="1" si="91"/>
        <v>4417.303774385975</v>
      </c>
      <c r="AZ152" s="13">
        <f t="shared" ca="1" si="91"/>
        <v>4439.1707583381449</v>
      </c>
      <c r="BA152" s="13">
        <f t="shared" ca="1" si="91"/>
        <v>4447.4543641634646</v>
      </c>
      <c r="BB152" s="83" t="s">
        <v>75</v>
      </c>
    </row>
    <row r="153" spans="2:54" x14ac:dyDescent="0.2"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BB153" s="8" t="s">
        <v>75</v>
      </c>
    </row>
    <row r="154" spans="2:54" x14ac:dyDescent="0.2">
      <c r="B154" s="19" t="s">
        <v>124</v>
      </c>
      <c r="C154" s="45" t="s">
        <v>187</v>
      </c>
      <c r="D154" s="19"/>
      <c r="E154" s="11"/>
      <c r="F154" s="11">
        <f t="shared" ref="F154:N160" si="92">+SUMIFS(154:154,$3:$3,"4Q"&amp;RIGHT(F$3,2))</f>
        <v>1283.4010000000001</v>
      </c>
      <c r="G154" s="11">
        <f t="shared" si="92"/>
        <v>1282.798</v>
      </c>
      <c r="H154" s="11">
        <f t="shared" si="92"/>
        <v>1334.5840000000001</v>
      </c>
      <c r="I154" s="11">
        <f t="shared" ca="1" si="92"/>
        <v>1144.8605251360634</v>
      </c>
      <c r="J154" s="11">
        <f t="shared" ca="1" si="92"/>
        <v>1277.5354599268871</v>
      </c>
      <c r="K154" s="11">
        <f t="shared" ca="1" si="92"/>
        <v>1225.1598492325363</v>
      </c>
      <c r="L154" s="11">
        <f t="shared" ca="1" si="92"/>
        <v>1107.8281789278601</v>
      </c>
      <c r="M154" s="11">
        <f t="shared" ca="1" si="92"/>
        <v>957.19332586854364</v>
      </c>
      <c r="N154" s="11">
        <f t="shared" ca="1" si="92"/>
        <v>815.84457531048872</v>
      </c>
      <c r="O154" s="11"/>
      <c r="P154" s="11"/>
      <c r="R154" s="12">
        <v>1374.6379999999999</v>
      </c>
      <c r="S154" s="12">
        <v>1170.252</v>
      </c>
      <c r="T154" s="12">
        <v>1170.252</v>
      </c>
      <c r="U154" s="12">
        <v>1283.4010000000001</v>
      </c>
      <c r="V154" s="12">
        <v>1284.6845616600001</v>
      </c>
      <c r="W154" s="12">
        <v>1284.6849999999999</v>
      </c>
      <c r="X154" s="12">
        <v>1284.6849999999999</v>
      </c>
      <c r="Y154" s="12">
        <v>1282.798</v>
      </c>
      <c r="Z154" s="12">
        <v>1282.798</v>
      </c>
      <c r="AA154" s="12">
        <v>1282.798</v>
      </c>
      <c r="AB154" s="12">
        <v>1334.5840000000001</v>
      </c>
      <c r="AC154" s="12">
        <v>1334.5840000000001</v>
      </c>
      <c r="AD154" s="46">
        <f ca="1">+AC154+AD23-SUMIFS(Debt!$42:$42,Debt!$3:$3,AD$3)-AD191+AD179</f>
        <v>989.20630245684879</v>
      </c>
      <c r="AE154" s="46">
        <f ca="1">+AD154+AE23-SUMIFS(Debt!$42:$42,Debt!$3:$3,AE$3)-AE191+AE179</f>
        <v>1071.3353547376203</v>
      </c>
      <c r="AF154" s="46">
        <f ca="1">+AE154+AF23-SUMIFS(Debt!$42:$42,Debt!$3:$3,AF$3)-AF191+AF179</f>
        <v>1150.5404332439753</v>
      </c>
      <c r="AG154" s="46">
        <f ca="1">+AF154+AG23-SUMIFS(Debt!$42:$42,Debt!$3:$3,AG$3)-AG191+AG179</f>
        <v>1144.8605251360634</v>
      </c>
      <c r="AH154" s="46">
        <f ca="1">+AG154+AH23-SUMIFS(Debt!$42:$42,Debt!$3:$3,AH$3)-AH191+AH179</f>
        <v>1180.8948937853665</v>
      </c>
      <c r="AI154" s="46">
        <f ca="1">+AH154+AI23-SUMIFS(Debt!$42:$42,Debt!$3:$3,AI$3)-AI191+AI179</f>
        <v>1301.3460436975408</v>
      </c>
      <c r="AJ154" s="46">
        <f ca="1">+AI154+AJ23-SUMIFS(Debt!$42:$42,Debt!$3:$3,AJ$3)-AJ191+AJ179</f>
        <v>1336.5593247605334</v>
      </c>
      <c r="AK154" s="46">
        <f ca="1">+AJ154+AK23-SUMIFS(Debt!$42:$42,Debt!$3:$3,AK$3)-AK191+AK179</f>
        <v>1277.5354599268871</v>
      </c>
      <c r="AL154" s="46">
        <f ca="1">+AK154+AL23-SUMIFS(Debt!$42:$42,Debt!$3:$3,AL$3)-AL191+AL179</f>
        <v>1243.4355294626698</v>
      </c>
      <c r="AM154" s="46">
        <f ca="1">+AL154+AM23-SUMIFS(Debt!$42:$42,Debt!$3:$3,AM$3)-AM191+AM179</f>
        <v>1306.3015199423203</v>
      </c>
      <c r="AN154" s="46">
        <f ca="1">+AM154+AN23-SUMIFS(Debt!$42:$42,Debt!$3:$3,AN$3)-AN191+AN179</f>
        <v>1318.0142681418195</v>
      </c>
      <c r="AO154" s="46">
        <f ca="1">+AN154+AO23-SUMIFS(Debt!$42:$42,Debt!$3:$3,AO$3)-AO191+AO179</f>
        <v>1225.1598492325363</v>
      </c>
      <c r="AP154" s="46">
        <f ca="1">+AO154+AP23-SUMIFS(Debt!$42:$42,Debt!$3:$3,AP$3)-AP191+AP179</f>
        <v>1169.1039347935689</v>
      </c>
      <c r="AQ154" s="46">
        <f ca="1">+AP154+AQ23-SUMIFS(Debt!$42:$42,Debt!$3:$3,AQ$3)-AQ191+AQ179</f>
        <v>1222.8719065459788</v>
      </c>
      <c r="AR154" s="46">
        <f ca="1">+AQ154+AR23-SUMIFS(Debt!$42:$42,Debt!$3:$3,AR$3)-AR191+AR179</f>
        <v>1223.6938697021012</v>
      </c>
      <c r="AS154" s="46">
        <f ca="1">+AR154+AS23-SUMIFS(Debt!$42:$42,Debt!$3:$3,AS$3)-AS191+AS179</f>
        <v>1107.8281789278601</v>
      </c>
      <c r="AT154" s="46">
        <f ca="1">+AS154+AT23-SUMIFS(Debt!$42:$42,Debt!$3:$3,AT$3)-AT191+AT179</f>
        <v>1028.4150439743164</v>
      </c>
      <c r="AU154" s="46">
        <f ca="1">+AT154+AU23-SUMIFS(Debt!$42:$42,Debt!$3:$3,AU$3)-AU191+AU179</f>
        <v>1071.9756506587626</v>
      </c>
      <c r="AV154" s="46">
        <f ca="1">+AU154+AV23-SUMIFS(Debt!$42:$42,Debt!$3:$3,AV$3)-AV191+AV179</f>
        <v>1079.9586315623146</v>
      </c>
      <c r="AW154" s="46">
        <f ca="1">+AV154+AW23-SUMIFS(Debt!$42:$42,Debt!$3:$3,AW$3)-AW191+AW179</f>
        <v>957.19332586854364</v>
      </c>
      <c r="AX154" s="46">
        <f ca="1">+AW154+AX23-SUMIFS(Debt!$42:$42,Debt!$3:$3,AX$3)-AX191+AX179</f>
        <v>874.03168667922739</v>
      </c>
      <c r="AY154" s="46">
        <f ca="1">+AX154+AY23-SUMIFS(Debt!$42:$42,Debt!$3:$3,AY$3)-AY191+AY179</f>
        <v>927.88895258843615</v>
      </c>
      <c r="AZ154" s="46">
        <f ca="1">+AY154+AZ23-SUMIFS(Debt!$42:$42,Debt!$3:$3,AZ$3)-AZ191+AZ179</f>
        <v>944.72953113895164</v>
      </c>
      <c r="BA154" s="46">
        <f ca="1">+AZ154+BA23-SUMIFS(Debt!$42:$42,Debt!$3:$3,BA$3)-BA191+BA179</f>
        <v>815.84457531048872</v>
      </c>
      <c r="BB154" s="8" t="s">
        <v>75</v>
      </c>
    </row>
    <row r="155" spans="2:54" x14ac:dyDescent="0.2">
      <c r="B155" s="19" t="s">
        <v>125</v>
      </c>
      <c r="C155" s="45" t="s">
        <v>187</v>
      </c>
      <c r="D155" s="19"/>
      <c r="E155" s="11"/>
      <c r="F155" s="11">
        <f t="shared" si="92"/>
        <v>12.933204289999999</v>
      </c>
      <c r="G155" s="11">
        <f t="shared" si="92"/>
        <v>17.126999999999999</v>
      </c>
      <c r="H155" s="11">
        <f t="shared" si="92"/>
        <v>34.176000000000002</v>
      </c>
      <c r="I155" s="11">
        <f t="shared" si="92"/>
        <v>34.176000000000002</v>
      </c>
      <c r="J155" s="11">
        <f t="shared" si="92"/>
        <v>34.176000000000002</v>
      </c>
      <c r="K155" s="11">
        <f t="shared" si="92"/>
        <v>34.176000000000002</v>
      </c>
      <c r="L155" s="11">
        <f t="shared" si="92"/>
        <v>34.176000000000002</v>
      </c>
      <c r="M155" s="11">
        <f t="shared" si="92"/>
        <v>34.176000000000002</v>
      </c>
      <c r="N155" s="11">
        <f t="shared" si="92"/>
        <v>34.176000000000002</v>
      </c>
      <c r="O155" s="11"/>
      <c r="P155" s="11"/>
      <c r="R155" s="12">
        <v>10.664</v>
      </c>
      <c r="S155" s="12">
        <v>12.605</v>
      </c>
      <c r="T155" s="12">
        <v>12.933</v>
      </c>
      <c r="U155" s="12">
        <v>12.933204289999999</v>
      </c>
      <c r="V155" s="12">
        <v>11.649281090000001</v>
      </c>
      <c r="W155" s="12">
        <v>11.648999999999999</v>
      </c>
      <c r="X155" s="12">
        <v>11.648999999999999</v>
      </c>
      <c r="Y155" s="12">
        <v>17.126999999999999</v>
      </c>
      <c r="Z155" s="12">
        <v>18.151</v>
      </c>
      <c r="AA155" s="12">
        <v>18.872</v>
      </c>
      <c r="AB155" s="12">
        <v>33.773000000000003</v>
      </c>
      <c r="AC155" s="12">
        <v>34.176000000000002</v>
      </c>
      <c r="AD155" s="11">
        <f t="shared" ref="AD155:AS155" si="93">+AC155</f>
        <v>34.176000000000002</v>
      </c>
      <c r="AE155" s="11">
        <f t="shared" si="93"/>
        <v>34.176000000000002</v>
      </c>
      <c r="AF155" s="11">
        <f t="shared" si="93"/>
        <v>34.176000000000002</v>
      </c>
      <c r="AG155" s="11">
        <f t="shared" si="93"/>
        <v>34.176000000000002</v>
      </c>
      <c r="AH155" s="11">
        <f t="shared" si="93"/>
        <v>34.176000000000002</v>
      </c>
      <c r="AI155" s="11">
        <f t="shared" si="93"/>
        <v>34.176000000000002</v>
      </c>
      <c r="AJ155" s="11">
        <f t="shared" si="93"/>
        <v>34.176000000000002</v>
      </c>
      <c r="AK155" s="11">
        <f t="shared" si="93"/>
        <v>34.176000000000002</v>
      </c>
      <c r="AL155" s="11">
        <f t="shared" si="93"/>
        <v>34.176000000000002</v>
      </c>
      <c r="AM155" s="11">
        <f t="shared" si="93"/>
        <v>34.176000000000002</v>
      </c>
      <c r="AN155" s="11">
        <f t="shared" si="93"/>
        <v>34.176000000000002</v>
      </c>
      <c r="AO155" s="11">
        <f t="shared" si="93"/>
        <v>34.176000000000002</v>
      </c>
      <c r="AP155" s="11">
        <f t="shared" si="93"/>
        <v>34.176000000000002</v>
      </c>
      <c r="AQ155" s="11">
        <f t="shared" si="93"/>
        <v>34.176000000000002</v>
      </c>
      <c r="AR155" s="11">
        <f t="shared" si="93"/>
        <v>34.176000000000002</v>
      </c>
      <c r="AS155" s="11">
        <f t="shared" si="93"/>
        <v>34.176000000000002</v>
      </c>
      <c r="AT155" s="11">
        <f t="shared" ref="AE155:BA159" si="94">+AS155</f>
        <v>34.176000000000002</v>
      </c>
      <c r="AU155" s="11">
        <f t="shared" si="94"/>
        <v>34.176000000000002</v>
      </c>
      <c r="AV155" s="11">
        <f t="shared" si="94"/>
        <v>34.176000000000002</v>
      </c>
      <c r="AW155" s="11">
        <f t="shared" si="94"/>
        <v>34.176000000000002</v>
      </c>
      <c r="AX155" s="11">
        <f t="shared" si="94"/>
        <v>34.176000000000002</v>
      </c>
      <c r="AY155" s="11">
        <f t="shared" si="94"/>
        <v>34.176000000000002</v>
      </c>
      <c r="AZ155" s="11">
        <f t="shared" si="94"/>
        <v>34.176000000000002</v>
      </c>
      <c r="BA155" s="11">
        <f t="shared" si="94"/>
        <v>34.176000000000002</v>
      </c>
      <c r="BB155" s="8" t="s">
        <v>75</v>
      </c>
    </row>
    <row r="156" spans="2:54" x14ac:dyDescent="0.2">
      <c r="B156" s="19" t="s">
        <v>126</v>
      </c>
      <c r="C156" s="45" t="s">
        <v>187</v>
      </c>
      <c r="D156" s="19"/>
      <c r="E156" s="11"/>
      <c r="F156" s="11">
        <f t="shared" si="92"/>
        <v>134.44</v>
      </c>
      <c r="G156" s="11">
        <f t="shared" si="92"/>
        <v>35.826999999999998</v>
      </c>
      <c r="H156" s="11">
        <f t="shared" si="92"/>
        <v>0</v>
      </c>
      <c r="I156" s="11">
        <f t="shared" si="92"/>
        <v>0</v>
      </c>
      <c r="J156" s="11">
        <f t="shared" si="92"/>
        <v>0</v>
      </c>
      <c r="K156" s="11">
        <f t="shared" si="92"/>
        <v>0</v>
      </c>
      <c r="L156" s="11">
        <f t="shared" si="92"/>
        <v>0</v>
      </c>
      <c r="M156" s="11">
        <f t="shared" si="92"/>
        <v>0</v>
      </c>
      <c r="N156" s="11">
        <f t="shared" si="92"/>
        <v>0</v>
      </c>
      <c r="O156" s="11"/>
      <c r="P156" s="11"/>
      <c r="R156" s="12">
        <v>0</v>
      </c>
      <c r="S156" s="12">
        <v>0</v>
      </c>
      <c r="T156" s="12">
        <v>0</v>
      </c>
      <c r="U156" s="12">
        <v>134.44</v>
      </c>
      <c r="V156" s="12">
        <v>0</v>
      </c>
      <c r="W156" s="12">
        <v>26.318000000000001</v>
      </c>
      <c r="X156" s="12">
        <v>71.34</v>
      </c>
      <c r="Y156" s="12">
        <v>35.826999999999998</v>
      </c>
      <c r="Z156" s="12">
        <v>0</v>
      </c>
      <c r="AA156" s="12">
        <v>0</v>
      </c>
      <c r="AB156" s="12">
        <v>0</v>
      </c>
      <c r="AC156" s="12">
        <v>0</v>
      </c>
      <c r="AD156" s="11">
        <f>+AC156</f>
        <v>0</v>
      </c>
      <c r="AE156" s="11">
        <f t="shared" si="94"/>
        <v>0</v>
      </c>
      <c r="AF156" s="11">
        <f t="shared" si="94"/>
        <v>0</v>
      </c>
      <c r="AG156" s="11">
        <f t="shared" si="94"/>
        <v>0</v>
      </c>
      <c r="AH156" s="11">
        <f t="shared" si="94"/>
        <v>0</v>
      </c>
      <c r="AI156" s="11">
        <f t="shared" si="94"/>
        <v>0</v>
      </c>
      <c r="AJ156" s="11">
        <f t="shared" si="94"/>
        <v>0</v>
      </c>
      <c r="AK156" s="11">
        <f t="shared" si="94"/>
        <v>0</v>
      </c>
      <c r="AL156" s="11">
        <f t="shared" si="94"/>
        <v>0</v>
      </c>
      <c r="AM156" s="11">
        <f t="shared" si="94"/>
        <v>0</v>
      </c>
      <c r="AN156" s="11">
        <f t="shared" si="94"/>
        <v>0</v>
      </c>
      <c r="AO156" s="11">
        <f t="shared" si="94"/>
        <v>0</v>
      </c>
      <c r="AP156" s="11">
        <f t="shared" si="94"/>
        <v>0</v>
      </c>
      <c r="AQ156" s="11">
        <f t="shared" si="94"/>
        <v>0</v>
      </c>
      <c r="AR156" s="11">
        <f t="shared" si="94"/>
        <v>0</v>
      </c>
      <c r="AS156" s="11">
        <f t="shared" si="94"/>
        <v>0</v>
      </c>
      <c r="AT156" s="11">
        <f t="shared" si="94"/>
        <v>0</v>
      </c>
      <c r="AU156" s="11">
        <f t="shared" si="94"/>
        <v>0</v>
      </c>
      <c r="AV156" s="11">
        <f t="shared" si="94"/>
        <v>0</v>
      </c>
      <c r="AW156" s="11">
        <f t="shared" si="94"/>
        <v>0</v>
      </c>
      <c r="AX156" s="11">
        <f t="shared" si="94"/>
        <v>0</v>
      </c>
      <c r="AY156" s="11">
        <f t="shared" si="94"/>
        <v>0</v>
      </c>
      <c r="AZ156" s="11">
        <f t="shared" si="94"/>
        <v>0</v>
      </c>
      <c r="BA156" s="11">
        <f t="shared" si="94"/>
        <v>0</v>
      </c>
      <c r="BB156" s="8" t="s">
        <v>75</v>
      </c>
    </row>
    <row r="157" spans="2:54" x14ac:dyDescent="0.2">
      <c r="B157" s="19" t="s">
        <v>127</v>
      </c>
      <c r="C157" s="45" t="s">
        <v>187</v>
      </c>
      <c r="D157" s="19"/>
      <c r="E157" s="11"/>
      <c r="F157" s="11">
        <f t="shared" si="92"/>
        <v>0</v>
      </c>
      <c r="G157" s="11">
        <f t="shared" si="92"/>
        <v>0</v>
      </c>
      <c r="H157" s="11">
        <f t="shared" si="92"/>
        <v>-21.045999999999999</v>
      </c>
      <c r="I157" s="11">
        <f t="shared" si="92"/>
        <v>-21.045999999999999</v>
      </c>
      <c r="J157" s="11">
        <f t="shared" si="92"/>
        <v>-21.045999999999999</v>
      </c>
      <c r="K157" s="11">
        <f t="shared" si="92"/>
        <v>-21.045999999999999</v>
      </c>
      <c r="L157" s="11">
        <f t="shared" si="92"/>
        <v>-21.045999999999999</v>
      </c>
      <c r="M157" s="11">
        <f t="shared" si="92"/>
        <v>-21.045999999999999</v>
      </c>
      <c r="N157" s="11">
        <f t="shared" si="92"/>
        <v>-21.045999999999999</v>
      </c>
      <c r="O157" s="11"/>
      <c r="P157" s="11"/>
      <c r="R157" s="12">
        <v>-284.32600000000002</v>
      </c>
      <c r="S157" s="12">
        <v>0</v>
      </c>
      <c r="T157" s="12">
        <v>0</v>
      </c>
      <c r="U157" s="12">
        <v>0</v>
      </c>
      <c r="V157" s="12">
        <v>-2.8279205099999989</v>
      </c>
      <c r="W157" s="12">
        <v>0</v>
      </c>
      <c r="X157" s="12">
        <v>0</v>
      </c>
      <c r="Y157" s="12">
        <v>0</v>
      </c>
      <c r="Z157" s="12">
        <v>-126.71</v>
      </c>
      <c r="AA157" s="12">
        <v>-134.11699999999999</v>
      </c>
      <c r="AB157" s="12">
        <v>-142.63999999999999</v>
      </c>
      <c r="AC157" s="12">
        <v>-21.045999999999999</v>
      </c>
      <c r="AD157" s="11">
        <f>+AC157</f>
        <v>-21.045999999999999</v>
      </c>
      <c r="AE157" s="11">
        <f t="shared" si="94"/>
        <v>-21.045999999999999</v>
      </c>
      <c r="AF157" s="11">
        <f t="shared" si="94"/>
        <v>-21.045999999999999</v>
      </c>
      <c r="AG157" s="11">
        <f t="shared" si="94"/>
        <v>-21.045999999999999</v>
      </c>
      <c r="AH157" s="11">
        <f t="shared" si="94"/>
        <v>-21.045999999999999</v>
      </c>
      <c r="AI157" s="11">
        <f t="shared" si="94"/>
        <v>-21.045999999999999</v>
      </c>
      <c r="AJ157" s="11">
        <f t="shared" si="94"/>
        <v>-21.045999999999999</v>
      </c>
      <c r="AK157" s="11">
        <f t="shared" si="94"/>
        <v>-21.045999999999999</v>
      </c>
      <c r="AL157" s="11">
        <f t="shared" si="94"/>
        <v>-21.045999999999999</v>
      </c>
      <c r="AM157" s="11">
        <f t="shared" si="94"/>
        <v>-21.045999999999999</v>
      </c>
      <c r="AN157" s="11">
        <f t="shared" si="94"/>
        <v>-21.045999999999999</v>
      </c>
      <c r="AO157" s="11">
        <f t="shared" si="94"/>
        <v>-21.045999999999999</v>
      </c>
      <c r="AP157" s="11">
        <f t="shared" si="94"/>
        <v>-21.045999999999999</v>
      </c>
      <c r="AQ157" s="11">
        <f t="shared" si="94"/>
        <v>-21.045999999999999</v>
      </c>
      <c r="AR157" s="11">
        <f t="shared" si="94"/>
        <v>-21.045999999999999</v>
      </c>
      <c r="AS157" s="11">
        <f t="shared" si="94"/>
        <v>-21.045999999999999</v>
      </c>
      <c r="AT157" s="11">
        <f t="shared" si="94"/>
        <v>-21.045999999999999</v>
      </c>
      <c r="AU157" s="11">
        <f t="shared" si="94"/>
        <v>-21.045999999999999</v>
      </c>
      <c r="AV157" s="11">
        <f t="shared" si="94"/>
        <v>-21.045999999999999</v>
      </c>
      <c r="AW157" s="11">
        <f t="shared" si="94"/>
        <v>-21.045999999999999</v>
      </c>
      <c r="AX157" s="11">
        <f t="shared" si="94"/>
        <v>-21.045999999999999</v>
      </c>
      <c r="AY157" s="11">
        <f t="shared" si="94"/>
        <v>-21.045999999999999</v>
      </c>
      <c r="AZ157" s="11">
        <f t="shared" si="94"/>
        <v>-21.045999999999999</v>
      </c>
      <c r="BA157" s="11">
        <f t="shared" si="94"/>
        <v>-21.045999999999999</v>
      </c>
      <c r="BB157" s="8" t="s">
        <v>75</v>
      </c>
    </row>
    <row r="158" spans="2:54" x14ac:dyDescent="0.2">
      <c r="B158" s="19" t="s">
        <v>128</v>
      </c>
      <c r="C158" s="45" t="s">
        <v>187</v>
      </c>
      <c r="D158" s="19"/>
      <c r="E158" s="11"/>
      <c r="F158" s="11">
        <f t="shared" si="92"/>
        <v>26.318017509500002</v>
      </c>
      <c r="G158" s="11">
        <f t="shared" si="92"/>
        <v>48.671999999999997</v>
      </c>
      <c r="H158" s="11">
        <f t="shared" si="92"/>
        <v>0</v>
      </c>
      <c r="I158" s="11">
        <f t="shared" si="92"/>
        <v>0</v>
      </c>
      <c r="J158" s="11">
        <f t="shared" si="92"/>
        <v>0</v>
      </c>
      <c r="K158" s="11">
        <f t="shared" si="92"/>
        <v>0</v>
      </c>
      <c r="L158" s="11">
        <f t="shared" si="92"/>
        <v>0</v>
      </c>
      <c r="M158" s="11">
        <f t="shared" si="92"/>
        <v>0</v>
      </c>
      <c r="N158" s="11">
        <f t="shared" si="92"/>
        <v>0</v>
      </c>
      <c r="O158" s="11"/>
      <c r="P158" s="11"/>
      <c r="R158" s="12">
        <v>0</v>
      </c>
      <c r="S158" s="12">
        <v>112.48099999999999</v>
      </c>
      <c r="T158" s="12">
        <v>124.83799999999999</v>
      </c>
      <c r="U158" s="12">
        <v>26.318017509500002</v>
      </c>
      <c r="V158" s="12">
        <v>160.75831159999996</v>
      </c>
      <c r="W158" s="12">
        <v>49.18</v>
      </c>
      <c r="X158" s="12">
        <v>26.318000000000001</v>
      </c>
      <c r="Y158" s="12">
        <v>48.671999999999997</v>
      </c>
      <c r="Z158" s="12">
        <v>84.498999999999995</v>
      </c>
      <c r="AA158" s="12">
        <v>84.498999999999995</v>
      </c>
      <c r="AB158" s="12">
        <v>84.498999999999995</v>
      </c>
      <c r="AC158" s="12">
        <v>0</v>
      </c>
      <c r="AD158" s="11">
        <f>+AC158</f>
        <v>0</v>
      </c>
      <c r="AE158" s="11">
        <f t="shared" si="94"/>
        <v>0</v>
      </c>
      <c r="AF158" s="11">
        <f t="shared" si="94"/>
        <v>0</v>
      </c>
      <c r="AG158" s="11">
        <f t="shared" si="94"/>
        <v>0</v>
      </c>
      <c r="AH158" s="11">
        <f t="shared" si="94"/>
        <v>0</v>
      </c>
      <c r="AI158" s="11">
        <f t="shared" si="94"/>
        <v>0</v>
      </c>
      <c r="AJ158" s="11">
        <f t="shared" si="94"/>
        <v>0</v>
      </c>
      <c r="AK158" s="11">
        <f t="shared" si="94"/>
        <v>0</v>
      </c>
      <c r="AL158" s="11">
        <f t="shared" si="94"/>
        <v>0</v>
      </c>
      <c r="AM158" s="11">
        <f t="shared" si="94"/>
        <v>0</v>
      </c>
      <c r="AN158" s="11">
        <f t="shared" si="94"/>
        <v>0</v>
      </c>
      <c r="AO158" s="11">
        <f t="shared" si="94"/>
        <v>0</v>
      </c>
      <c r="AP158" s="11">
        <f t="shared" si="94"/>
        <v>0</v>
      </c>
      <c r="AQ158" s="11">
        <f t="shared" si="94"/>
        <v>0</v>
      </c>
      <c r="AR158" s="11">
        <f t="shared" si="94"/>
        <v>0</v>
      </c>
      <c r="AS158" s="11">
        <f t="shared" si="94"/>
        <v>0</v>
      </c>
      <c r="AT158" s="11">
        <f t="shared" si="94"/>
        <v>0</v>
      </c>
      <c r="AU158" s="11">
        <f t="shared" si="94"/>
        <v>0</v>
      </c>
      <c r="AV158" s="11">
        <f t="shared" si="94"/>
        <v>0</v>
      </c>
      <c r="AW158" s="11">
        <f t="shared" si="94"/>
        <v>0</v>
      </c>
      <c r="AX158" s="11">
        <f t="shared" si="94"/>
        <v>0</v>
      </c>
      <c r="AY158" s="11">
        <f t="shared" si="94"/>
        <v>0</v>
      </c>
      <c r="AZ158" s="11">
        <f t="shared" si="94"/>
        <v>0</v>
      </c>
      <c r="BA158" s="11">
        <f t="shared" si="94"/>
        <v>0</v>
      </c>
      <c r="BB158" s="8" t="s">
        <v>75</v>
      </c>
    </row>
    <row r="159" spans="2:54" x14ac:dyDescent="0.2">
      <c r="B159" s="19" t="s">
        <v>129</v>
      </c>
      <c r="C159" s="45" t="s">
        <v>187</v>
      </c>
      <c r="D159" s="19"/>
      <c r="E159" s="11"/>
      <c r="F159" s="11">
        <f t="shared" si="92"/>
        <v>157.30199999999999</v>
      </c>
      <c r="G159" s="11">
        <f t="shared" si="92"/>
        <v>159.14699999999999</v>
      </c>
      <c r="H159" s="11">
        <f t="shared" si="92"/>
        <v>178.113</v>
      </c>
      <c r="I159" s="11">
        <f t="shared" si="92"/>
        <v>178.113</v>
      </c>
      <c r="J159" s="11">
        <f t="shared" si="92"/>
        <v>178.113</v>
      </c>
      <c r="K159" s="11">
        <f t="shared" si="92"/>
        <v>178.113</v>
      </c>
      <c r="L159" s="11">
        <f t="shared" si="92"/>
        <v>178.113</v>
      </c>
      <c r="M159" s="11">
        <f t="shared" si="92"/>
        <v>178.113</v>
      </c>
      <c r="N159" s="11">
        <f t="shared" si="92"/>
        <v>178.113</v>
      </c>
      <c r="O159" s="11"/>
      <c r="P159" s="11"/>
      <c r="R159" s="12">
        <v>166.24600000000001</v>
      </c>
      <c r="S159" s="12">
        <v>131.12200000000001</v>
      </c>
      <c r="T159" s="12">
        <v>118.684</v>
      </c>
      <c r="U159" s="12">
        <v>157.30199999999999</v>
      </c>
      <c r="V159" s="12">
        <v>160.10435772999992</v>
      </c>
      <c r="W159" s="12">
        <v>170.59299999999999</v>
      </c>
      <c r="X159" s="12">
        <v>153.50700000000001</v>
      </c>
      <c r="Y159" s="12">
        <v>159.14699999999999</v>
      </c>
      <c r="Z159" s="12">
        <v>118.673</v>
      </c>
      <c r="AA159" s="12">
        <v>126.797</v>
      </c>
      <c r="AB159" s="12">
        <v>144.89599999999999</v>
      </c>
      <c r="AC159" s="12">
        <v>178.113</v>
      </c>
      <c r="AD159" s="11">
        <f>+AC159</f>
        <v>178.113</v>
      </c>
      <c r="AE159" s="11">
        <f t="shared" si="94"/>
        <v>178.113</v>
      </c>
      <c r="AF159" s="11">
        <f t="shared" si="94"/>
        <v>178.113</v>
      </c>
      <c r="AG159" s="11">
        <f t="shared" si="94"/>
        <v>178.113</v>
      </c>
      <c r="AH159" s="11">
        <f t="shared" si="94"/>
        <v>178.113</v>
      </c>
      <c r="AI159" s="11">
        <f t="shared" si="94"/>
        <v>178.113</v>
      </c>
      <c r="AJ159" s="11">
        <f t="shared" si="94"/>
        <v>178.113</v>
      </c>
      <c r="AK159" s="11">
        <f t="shared" si="94"/>
        <v>178.113</v>
      </c>
      <c r="AL159" s="11">
        <f t="shared" si="94"/>
        <v>178.113</v>
      </c>
      <c r="AM159" s="11">
        <f t="shared" si="94"/>
        <v>178.113</v>
      </c>
      <c r="AN159" s="11">
        <f t="shared" si="94"/>
        <v>178.113</v>
      </c>
      <c r="AO159" s="11">
        <f t="shared" si="94"/>
        <v>178.113</v>
      </c>
      <c r="AP159" s="11">
        <f t="shared" si="94"/>
        <v>178.113</v>
      </c>
      <c r="AQ159" s="11">
        <f t="shared" si="94"/>
        <v>178.113</v>
      </c>
      <c r="AR159" s="11">
        <f t="shared" si="94"/>
        <v>178.113</v>
      </c>
      <c r="AS159" s="11">
        <f t="shared" si="94"/>
        <v>178.113</v>
      </c>
      <c r="AT159" s="11">
        <f t="shared" si="94"/>
        <v>178.113</v>
      </c>
      <c r="AU159" s="11">
        <f t="shared" si="94"/>
        <v>178.113</v>
      </c>
      <c r="AV159" s="11">
        <f t="shared" si="94"/>
        <v>178.113</v>
      </c>
      <c r="AW159" s="11">
        <f t="shared" si="94"/>
        <v>178.113</v>
      </c>
      <c r="AX159" s="11">
        <f t="shared" si="94"/>
        <v>178.113</v>
      </c>
      <c r="AY159" s="11">
        <f t="shared" si="94"/>
        <v>178.113</v>
      </c>
      <c r="AZ159" s="11">
        <f t="shared" si="94"/>
        <v>178.113</v>
      </c>
      <c r="BA159" s="11">
        <f t="shared" si="94"/>
        <v>178.113</v>
      </c>
      <c r="BB159" s="8" t="s">
        <v>75</v>
      </c>
    </row>
    <row r="160" spans="2:54" s="2" customFormat="1" x14ac:dyDescent="0.2">
      <c r="B160" s="2" t="s">
        <v>94</v>
      </c>
      <c r="C160" s="45" t="s">
        <v>187</v>
      </c>
      <c r="E160" s="11"/>
      <c r="F160" s="13">
        <f t="shared" si="92"/>
        <v>1614.3942217995</v>
      </c>
      <c r="G160" s="13">
        <f t="shared" si="92"/>
        <v>1543.5709999999999</v>
      </c>
      <c r="H160" s="13">
        <f t="shared" si="92"/>
        <v>1525.827</v>
      </c>
      <c r="I160" s="13">
        <f t="shared" ca="1" si="92"/>
        <v>1336.1035251360634</v>
      </c>
      <c r="J160" s="13">
        <f t="shared" ca="1" si="92"/>
        <v>1468.7784599268871</v>
      </c>
      <c r="K160" s="13">
        <f t="shared" ca="1" si="92"/>
        <v>1416.4028492325363</v>
      </c>
      <c r="L160" s="13">
        <f t="shared" ca="1" si="92"/>
        <v>1299.07117892786</v>
      </c>
      <c r="M160" s="13">
        <f t="shared" ca="1" si="92"/>
        <v>1148.4363258685437</v>
      </c>
      <c r="N160" s="13">
        <f t="shared" ca="1" si="92"/>
        <v>1007.0875753104888</v>
      </c>
      <c r="O160" s="13"/>
      <c r="P160" s="13"/>
      <c r="R160" s="13">
        <f t="shared" ref="R160:AB160" si="95">+SUM(R154:R159)</f>
        <v>1267.222</v>
      </c>
      <c r="S160" s="13">
        <f t="shared" si="95"/>
        <v>1426.46</v>
      </c>
      <c r="T160" s="13">
        <f t="shared" si="95"/>
        <v>1426.7069999999999</v>
      </c>
      <c r="U160" s="13">
        <f t="shared" si="95"/>
        <v>1614.3942217995</v>
      </c>
      <c r="V160" s="13">
        <f t="shared" si="95"/>
        <v>1614.36859157</v>
      </c>
      <c r="W160" s="13">
        <f t="shared" si="95"/>
        <v>1542.425</v>
      </c>
      <c r="X160" s="13">
        <f t="shared" si="95"/>
        <v>1547.4989999999998</v>
      </c>
      <c r="Y160" s="13">
        <f t="shared" si="95"/>
        <v>1543.5709999999999</v>
      </c>
      <c r="Z160" s="13">
        <f t="shared" si="95"/>
        <v>1377.4110000000001</v>
      </c>
      <c r="AA160" s="13">
        <f t="shared" si="95"/>
        <v>1378.8490000000002</v>
      </c>
      <c r="AB160" s="13">
        <f t="shared" si="95"/>
        <v>1455.1120000000001</v>
      </c>
      <c r="AC160" s="13">
        <f>+SUM(AC154:AC159)</f>
        <v>1525.827</v>
      </c>
      <c r="AD160" s="13">
        <f ca="1">+SUM(AD154:AD159)</f>
        <v>1180.4493024568487</v>
      </c>
      <c r="AE160" s="13">
        <f t="shared" ref="AE160:BA160" ca="1" si="96">+SUM(AE154:AE159)</f>
        <v>1262.5783547376202</v>
      </c>
      <c r="AF160" s="13">
        <f t="shared" ca="1" si="96"/>
        <v>1341.7834332439752</v>
      </c>
      <c r="AG160" s="13">
        <f t="shared" ca="1" si="96"/>
        <v>1336.1035251360634</v>
      </c>
      <c r="AH160" s="13">
        <f t="shared" ca="1" si="96"/>
        <v>1372.1378937853665</v>
      </c>
      <c r="AI160" s="13">
        <f t="shared" ca="1" si="96"/>
        <v>1492.5890436975408</v>
      </c>
      <c r="AJ160" s="13">
        <f t="shared" ca="1" si="96"/>
        <v>1527.8023247605333</v>
      </c>
      <c r="AK160" s="13">
        <f t="shared" ca="1" si="96"/>
        <v>1468.7784599268871</v>
      </c>
      <c r="AL160" s="13">
        <f t="shared" ca="1" si="96"/>
        <v>1434.6785294626698</v>
      </c>
      <c r="AM160" s="13">
        <f t="shared" ca="1" si="96"/>
        <v>1497.5445199423202</v>
      </c>
      <c r="AN160" s="13">
        <f t="shared" ca="1" si="96"/>
        <v>1509.2572681418194</v>
      </c>
      <c r="AO160" s="13">
        <f t="shared" ca="1" si="96"/>
        <v>1416.4028492325363</v>
      </c>
      <c r="AP160" s="13">
        <f t="shared" ca="1" si="96"/>
        <v>1360.3469347935688</v>
      </c>
      <c r="AQ160" s="13">
        <f t="shared" ca="1" si="96"/>
        <v>1414.1149065459788</v>
      </c>
      <c r="AR160" s="13">
        <f t="shared" ca="1" si="96"/>
        <v>1414.9368697021011</v>
      </c>
      <c r="AS160" s="13">
        <f t="shared" ca="1" si="96"/>
        <v>1299.07117892786</v>
      </c>
      <c r="AT160" s="13">
        <f t="shared" ca="1" si="96"/>
        <v>1219.6580439743163</v>
      </c>
      <c r="AU160" s="13">
        <f t="shared" ca="1" si="96"/>
        <v>1263.2186506587625</v>
      </c>
      <c r="AV160" s="13">
        <f t="shared" ca="1" si="96"/>
        <v>1271.2016315623146</v>
      </c>
      <c r="AW160" s="13">
        <f t="shared" ca="1" si="96"/>
        <v>1148.4363258685437</v>
      </c>
      <c r="AX160" s="13">
        <f t="shared" ca="1" si="96"/>
        <v>1065.2746866792274</v>
      </c>
      <c r="AY160" s="13">
        <f t="shared" ca="1" si="96"/>
        <v>1119.1319525884362</v>
      </c>
      <c r="AZ160" s="13">
        <f t="shared" ca="1" si="96"/>
        <v>1135.9725311389516</v>
      </c>
      <c r="BA160" s="13">
        <f t="shared" ca="1" si="96"/>
        <v>1007.0875753104888</v>
      </c>
      <c r="BB160" s="83" t="s">
        <v>75</v>
      </c>
    </row>
    <row r="161" spans="1:54" x14ac:dyDescent="0.2"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BB161" s="8" t="s">
        <v>75</v>
      </c>
    </row>
    <row r="162" spans="1:54" s="2" customFormat="1" x14ac:dyDescent="0.2">
      <c r="B162" s="2" t="s">
        <v>95</v>
      </c>
      <c r="C162" s="45" t="s">
        <v>187</v>
      </c>
      <c r="E162" s="11"/>
      <c r="F162" s="13">
        <f t="shared" ref="F162:N162" si="97">+SUMIFS(162:162,$3:$3,"4Q"&amp;RIGHT(F$3,2))</f>
        <v>4771.546204289999</v>
      </c>
      <c r="G162" s="13">
        <f t="shared" si="97"/>
        <v>4717.665</v>
      </c>
      <c r="H162" s="13">
        <f t="shared" si="97"/>
        <v>5714.4969999999994</v>
      </c>
      <c r="I162" s="13">
        <f t="shared" ca="1" si="97"/>
        <v>5926.9995762268709</v>
      </c>
      <c r="J162" s="13">
        <f t="shared" ca="1" si="97"/>
        <v>6124.8407612857054</v>
      </c>
      <c r="K162" s="13">
        <f t="shared" ca="1" si="97"/>
        <v>6135.9361850332425</v>
      </c>
      <c r="L162" s="13">
        <f t="shared" ca="1" si="97"/>
        <v>6083.2620933348271</v>
      </c>
      <c r="M162" s="13">
        <f t="shared" ca="1" si="97"/>
        <v>5998.5327750285414</v>
      </c>
      <c r="N162" s="13">
        <f t="shared" ca="1" si="97"/>
        <v>5924.1534926667573</v>
      </c>
      <c r="O162" s="13"/>
      <c r="P162" s="13"/>
      <c r="R162" s="13">
        <f t="shared" ref="R162:AD162" si="98">+R160+R152+R145</f>
        <v>4045.0940000000001</v>
      </c>
      <c r="S162" s="13">
        <f t="shared" si="98"/>
        <v>4567.2259999999997</v>
      </c>
      <c r="T162" s="13">
        <f t="shared" si="98"/>
        <v>4647.4639999999999</v>
      </c>
      <c r="U162" s="13">
        <f t="shared" si="98"/>
        <v>4771.546204289999</v>
      </c>
      <c r="V162" s="13">
        <f t="shared" si="98"/>
        <v>4734.7345624525697</v>
      </c>
      <c r="W162" s="13">
        <f t="shared" si="98"/>
        <v>4580.8059999999996</v>
      </c>
      <c r="X162" s="13">
        <f t="shared" si="98"/>
        <v>4821.8530000000001</v>
      </c>
      <c r="Y162" s="13">
        <f t="shared" si="98"/>
        <v>4717.665</v>
      </c>
      <c r="Z162" s="13">
        <f t="shared" si="98"/>
        <v>5475.0439999999999</v>
      </c>
      <c r="AA162" s="13">
        <f t="shared" si="98"/>
        <v>5698.9170000000004</v>
      </c>
      <c r="AB162" s="13">
        <f t="shared" si="98"/>
        <v>5813.4480000000003</v>
      </c>
      <c r="AC162" s="13">
        <f t="shared" si="98"/>
        <v>5714.4969999999994</v>
      </c>
      <c r="AD162" s="13">
        <f t="shared" ca="1" si="98"/>
        <v>5740.7501804736539</v>
      </c>
      <c r="AE162" s="13">
        <f t="shared" ref="AE162:BA162" ca="1" si="99">+AE160+AE152+AE145</f>
        <v>5851.0532425450174</v>
      </c>
      <c r="AF162" s="13">
        <f t="shared" ca="1" si="99"/>
        <v>5947.6803364484595</v>
      </c>
      <c r="AG162" s="13">
        <f t="shared" ca="1" si="99"/>
        <v>5926.9995762268709</v>
      </c>
      <c r="AH162" s="13">
        <f t="shared" ca="1" si="99"/>
        <v>5997.936149333078</v>
      </c>
      <c r="AI162" s="13">
        <f t="shared" ca="1" si="99"/>
        <v>6149.1269275999102</v>
      </c>
      <c r="AJ162" s="13">
        <f t="shared" ca="1" si="99"/>
        <v>6201.6854829096083</v>
      </c>
      <c r="AK162" s="13">
        <f t="shared" ca="1" si="99"/>
        <v>6124.8407612857054</v>
      </c>
      <c r="AL162" s="13">
        <f t="shared" ca="1" si="99"/>
        <v>6124.2549603678399</v>
      </c>
      <c r="AM162" s="13">
        <f t="shared" ca="1" si="99"/>
        <v>6220.6819571803208</v>
      </c>
      <c r="AN162" s="13">
        <f t="shared" ca="1" si="99"/>
        <v>6249.7031673821275</v>
      </c>
      <c r="AO162" s="13">
        <f t="shared" ca="1" si="99"/>
        <v>6135.9361850332425</v>
      </c>
      <c r="AP162" s="13">
        <f t="shared" ca="1" si="99"/>
        <v>6113.9957336658481</v>
      </c>
      <c r="AQ162" s="13">
        <f t="shared" ca="1" si="99"/>
        <v>6205.4454156290867</v>
      </c>
      <c r="AR162" s="13">
        <f t="shared" ca="1" si="99"/>
        <v>6223.5085253676716</v>
      </c>
      <c r="AS162" s="13">
        <f t="shared" ca="1" si="99"/>
        <v>6083.2620933348271</v>
      </c>
      <c r="AT162" s="13">
        <f t="shared" ca="1" si="99"/>
        <v>6040.6441987107364</v>
      </c>
      <c r="AU162" s="13">
        <f t="shared" ca="1" si="99"/>
        <v>6124.4442194432359</v>
      </c>
      <c r="AV162" s="13">
        <f t="shared" ca="1" si="99"/>
        <v>6149.5669518872237</v>
      </c>
      <c r="AW162" s="13">
        <f t="shared" ca="1" si="99"/>
        <v>5998.5327750285414</v>
      </c>
      <c r="AX162" s="13">
        <f t="shared" ca="1" si="99"/>
        <v>5953.7510431919573</v>
      </c>
      <c r="AY162" s="13">
        <f t="shared" ca="1" si="99"/>
        <v>6051.6117074917165</v>
      </c>
      <c r="AZ162" s="13">
        <f t="shared" ca="1" si="99"/>
        <v>6085.4669725875074</v>
      </c>
      <c r="BA162" s="13">
        <f t="shared" ca="1" si="99"/>
        <v>5924.1534926667573</v>
      </c>
      <c r="BB162" s="83" t="s">
        <v>75</v>
      </c>
    </row>
    <row r="163" spans="1:54" x14ac:dyDescent="0.2">
      <c r="E163" s="11"/>
      <c r="BB163" s="8" t="s">
        <v>75</v>
      </c>
    </row>
    <row r="164" spans="1:54" x14ac:dyDescent="0.2">
      <c r="A164" s="1" t="s">
        <v>75</v>
      </c>
      <c r="B164" s="1" t="s">
        <v>96</v>
      </c>
      <c r="C164" s="8">
        <f ca="1">+COUNTIFS(G164:BA164,-1)</f>
        <v>0</v>
      </c>
      <c r="E164" s="11"/>
      <c r="F164" s="8" t="str">
        <f t="shared" ref="F164" si="100">+IF(ROUNDDOWN(ABS(F162-F130),0)=0,"OK","CHECK")</f>
        <v>OK</v>
      </c>
      <c r="G164" s="303">
        <f>+IFERROR(IF(ROUNDDOWN(ABS(G162-G130),0)=0,1,-1),-1)</f>
        <v>1</v>
      </c>
      <c r="H164" s="303">
        <f t="shared" ref="H164:N164" si="101">+IFERROR(IF(ROUNDDOWN(ABS(H162-H130),0)=0,1,-1),-1)</f>
        <v>1</v>
      </c>
      <c r="I164" s="303">
        <f t="shared" ca="1" si="101"/>
        <v>1</v>
      </c>
      <c r="J164" s="303">
        <f t="shared" ca="1" si="101"/>
        <v>1</v>
      </c>
      <c r="K164" s="303">
        <f t="shared" ca="1" si="101"/>
        <v>1</v>
      </c>
      <c r="L164" s="303">
        <f t="shared" ca="1" si="101"/>
        <v>1</v>
      </c>
      <c r="M164" s="303">
        <f t="shared" ca="1" si="101"/>
        <v>1</v>
      </c>
      <c r="N164" s="303">
        <f t="shared" ca="1" si="101"/>
        <v>1</v>
      </c>
      <c r="O164" s="8"/>
      <c r="P164" s="8"/>
      <c r="R164" s="8" t="str">
        <f t="shared" ref="R164:U164" si="102">+IF(ROUNDDOWN(ABS(R162-R130),0)=0,"OK","CHECK")</f>
        <v>OK</v>
      </c>
      <c r="S164" s="8" t="str">
        <f t="shared" si="102"/>
        <v>OK</v>
      </c>
      <c r="T164" s="8" t="str">
        <f t="shared" si="102"/>
        <v>OK</v>
      </c>
      <c r="U164" s="8" t="str">
        <f t="shared" si="102"/>
        <v>OK</v>
      </c>
      <c r="V164" s="303">
        <f t="shared" ref="V164:BA164" si="103">+IFERROR(IF(ROUNDDOWN(ABS(V162-V130),0)=0,1,-1),-1)</f>
        <v>1</v>
      </c>
      <c r="W164" s="303">
        <f t="shared" si="103"/>
        <v>1</v>
      </c>
      <c r="X164" s="303">
        <f t="shared" si="103"/>
        <v>1</v>
      </c>
      <c r="Y164" s="303">
        <f t="shared" si="103"/>
        <v>1</v>
      </c>
      <c r="Z164" s="303">
        <f t="shared" si="103"/>
        <v>1</v>
      </c>
      <c r="AA164" s="303">
        <f t="shared" si="103"/>
        <v>1</v>
      </c>
      <c r="AB164" s="303">
        <f t="shared" si="103"/>
        <v>1</v>
      </c>
      <c r="AC164" s="303">
        <f t="shared" si="103"/>
        <v>1</v>
      </c>
      <c r="AD164" s="303">
        <f t="shared" ca="1" si="103"/>
        <v>1</v>
      </c>
      <c r="AE164" s="303">
        <f t="shared" ca="1" si="103"/>
        <v>1</v>
      </c>
      <c r="AF164" s="303">
        <f t="shared" ca="1" si="103"/>
        <v>1</v>
      </c>
      <c r="AG164" s="303">
        <f t="shared" ca="1" si="103"/>
        <v>1</v>
      </c>
      <c r="AH164" s="303">
        <f t="shared" ca="1" si="103"/>
        <v>1</v>
      </c>
      <c r="AI164" s="303">
        <f t="shared" ca="1" si="103"/>
        <v>1</v>
      </c>
      <c r="AJ164" s="303">
        <f t="shared" ca="1" si="103"/>
        <v>1</v>
      </c>
      <c r="AK164" s="303">
        <f t="shared" ca="1" si="103"/>
        <v>1</v>
      </c>
      <c r="AL164" s="303">
        <f t="shared" ca="1" si="103"/>
        <v>1</v>
      </c>
      <c r="AM164" s="303">
        <f t="shared" ca="1" si="103"/>
        <v>1</v>
      </c>
      <c r="AN164" s="303">
        <f t="shared" ca="1" si="103"/>
        <v>1</v>
      </c>
      <c r="AO164" s="303">
        <f t="shared" ca="1" si="103"/>
        <v>1</v>
      </c>
      <c r="AP164" s="303">
        <f t="shared" ca="1" si="103"/>
        <v>1</v>
      </c>
      <c r="AQ164" s="303">
        <f t="shared" ca="1" si="103"/>
        <v>1</v>
      </c>
      <c r="AR164" s="303">
        <f t="shared" ca="1" si="103"/>
        <v>1</v>
      </c>
      <c r="AS164" s="303">
        <f t="shared" ca="1" si="103"/>
        <v>1</v>
      </c>
      <c r="AT164" s="303">
        <f t="shared" ca="1" si="103"/>
        <v>1</v>
      </c>
      <c r="AU164" s="303">
        <f t="shared" ca="1" si="103"/>
        <v>1</v>
      </c>
      <c r="AV164" s="303">
        <f t="shared" ca="1" si="103"/>
        <v>1</v>
      </c>
      <c r="AW164" s="303">
        <f t="shared" ca="1" si="103"/>
        <v>1</v>
      </c>
      <c r="AX164" s="303">
        <f t="shared" ca="1" si="103"/>
        <v>1</v>
      </c>
      <c r="AY164" s="303">
        <f t="shared" ca="1" si="103"/>
        <v>1</v>
      </c>
      <c r="AZ164" s="303">
        <f t="shared" ca="1" si="103"/>
        <v>1</v>
      </c>
      <c r="BA164" s="303">
        <f t="shared" ca="1" si="103"/>
        <v>1</v>
      </c>
      <c r="BB164" s="8" t="s">
        <v>75</v>
      </c>
    </row>
    <row r="165" spans="1:54" x14ac:dyDescent="0.2">
      <c r="E165" s="11"/>
      <c r="R165" s="163"/>
      <c r="S165" s="163"/>
      <c r="T165" s="163"/>
      <c r="U165" s="163"/>
      <c r="V165" s="163"/>
      <c r="W165" s="163"/>
      <c r="X165" s="163"/>
      <c r="Y165" s="163"/>
      <c r="Z165" s="163"/>
      <c r="AA165" s="163"/>
      <c r="AB165" s="163"/>
      <c r="AC165" s="163"/>
      <c r="BB165" s="8" t="s">
        <v>75</v>
      </c>
    </row>
    <row r="166" spans="1:54" x14ac:dyDescent="0.2">
      <c r="B166" s="1" t="s">
        <v>633</v>
      </c>
      <c r="C166" s="45" t="s">
        <v>187</v>
      </c>
      <c r="D166" s="181">
        <f>+Debt!$D$61</f>
        <v>50</v>
      </c>
      <c r="E166" s="11"/>
      <c r="G166" s="163">
        <f>+$D166</f>
        <v>50</v>
      </c>
      <c r="H166" s="163">
        <f t="shared" ref="H166:N166" si="104">+$D166</f>
        <v>50</v>
      </c>
      <c r="I166" s="163">
        <f t="shared" si="104"/>
        <v>50</v>
      </c>
      <c r="J166" s="163">
        <f t="shared" si="104"/>
        <v>50</v>
      </c>
      <c r="K166" s="163">
        <f t="shared" si="104"/>
        <v>50</v>
      </c>
      <c r="L166" s="163">
        <f t="shared" si="104"/>
        <v>50</v>
      </c>
      <c r="M166" s="163">
        <f t="shared" si="104"/>
        <v>50</v>
      </c>
      <c r="N166" s="163">
        <f t="shared" si="104"/>
        <v>50</v>
      </c>
      <c r="R166" s="163"/>
      <c r="S166" s="163"/>
      <c r="T166" s="163"/>
      <c r="U166" s="163"/>
      <c r="V166" s="163">
        <f>+$D166</f>
        <v>50</v>
      </c>
      <c r="W166" s="163">
        <f t="shared" ref="W166:BA166" si="105">+$D166</f>
        <v>50</v>
      </c>
      <c r="X166" s="163">
        <f t="shared" si="105"/>
        <v>50</v>
      </c>
      <c r="Y166" s="163">
        <f t="shared" si="105"/>
        <v>50</v>
      </c>
      <c r="Z166" s="163">
        <f t="shared" si="105"/>
        <v>50</v>
      </c>
      <c r="AA166" s="163">
        <f t="shared" si="105"/>
        <v>50</v>
      </c>
      <c r="AB166" s="163">
        <f t="shared" si="105"/>
        <v>50</v>
      </c>
      <c r="AC166" s="163">
        <f t="shared" si="105"/>
        <v>50</v>
      </c>
      <c r="AD166" s="163">
        <f t="shared" si="105"/>
        <v>50</v>
      </c>
      <c r="AE166" s="163">
        <f t="shared" si="105"/>
        <v>50</v>
      </c>
      <c r="AF166" s="163">
        <f t="shared" si="105"/>
        <v>50</v>
      </c>
      <c r="AG166" s="163">
        <f t="shared" si="105"/>
        <v>50</v>
      </c>
      <c r="AH166" s="163">
        <f t="shared" si="105"/>
        <v>50</v>
      </c>
      <c r="AI166" s="163">
        <f t="shared" si="105"/>
        <v>50</v>
      </c>
      <c r="AJ166" s="163">
        <f t="shared" si="105"/>
        <v>50</v>
      </c>
      <c r="AK166" s="163">
        <f t="shared" si="105"/>
        <v>50</v>
      </c>
      <c r="AL166" s="163">
        <f t="shared" si="105"/>
        <v>50</v>
      </c>
      <c r="AM166" s="163">
        <f t="shared" si="105"/>
        <v>50</v>
      </c>
      <c r="AN166" s="163">
        <f t="shared" si="105"/>
        <v>50</v>
      </c>
      <c r="AO166" s="163">
        <f t="shared" si="105"/>
        <v>50</v>
      </c>
      <c r="AP166" s="163">
        <f t="shared" si="105"/>
        <v>50</v>
      </c>
      <c r="AQ166" s="163">
        <f t="shared" si="105"/>
        <v>50</v>
      </c>
      <c r="AR166" s="163">
        <f t="shared" si="105"/>
        <v>50</v>
      </c>
      <c r="AS166" s="163">
        <f t="shared" si="105"/>
        <v>50</v>
      </c>
      <c r="AT166" s="163">
        <f t="shared" si="105"/>
        <v>50</v>
      </c>
      <c r="AU166" s="163">
        <f t="shared" si="105"/>
        <v>50</v>
      </c>
      <c r="AV166" s="163">
        <f t="shared" si="105"/>
        <v>50</v>
      </c>
      <c r="AW166" s="163">
        <f t="shared" si="105"/>
        <v>50</v>
      </c>
      <c r="AX166" s="163">
        <f t="shared" si="105"/>
        <v>50</v>
      </c>
      <c r="AY166" s="163">
        <f t="shared" si="105"/>
        <v>50</v>
      </c>
      <c r="AZ166" s="163">
        <f t="shared" si="105"/>
        <v>50</v>
      </c>
      <c r="BA166" s="163">
        <f t="shared" si="105"/>
        <v>50</v>
      </c>
      <c r="BB166" s="8" t="s">
        <v>75</v>
      </c>
    </row>
    <row r="167" spans="1:54" x14ac:dyDescent="0.2">
      <c r="B167" s="1" t="s">
        <v>632</v>
      </c>
      <c r="C167" s="45" t="s">
        <v>187</v>
      </c>
      <c r="E167" s="11"/>
      <c r="G167" s="11">
        <f>+G101+G102-G166</f>
        <v>909.13799999999992</v>
      </c>
      <c r="H167" s="11">
        <f t="shared" ref="H167:N167" si="106">+H101+H102-H166</f>
        <v>980.89200000000005</v>
      </c>
      <c r="I167" s="11">
        <f t="shared" ca="1" si="106"/>
        <v>964.02041493049251</v>
      </c>
      <c r="J167" s="11">
        <f t="shared" ca="1" si="106"/>
        <v>998.01247426055284</v>
      </c>
      <c r="K167" s="11">
        <f t="shared" ca="1" si="106"/>
        <v>1093.837878026829</v>
      </c>
      <c r="L167" s="11">
        <f t="shared" ca="1" si="106"/>
        <v>1125.2636918620337</v>
      </c>
      <c r="M167" s="11">
        <f t="shared" ca="1" si="106"/>
        <v>1124.2443280519124</v>
      </c>
      <c r="N167" s="11">
        <f t="shared" ca="1" si="106"/>
        <v>1134.5415529944592</v>
      </c>
      <c r="R167" s="163"/>
      <c r="S167" s="163"/>
      <c r="T167" s="163"/>
      <c r="U167" s="163"/>
      <c r="V167" s="11">
        <f>+V101+V102-V166</f>
        <v>941.00440717697074</v>
      </c>
      <c r="W167" s="11">
        <f t="shared" ref="W167:BA167" si="107">+W101+W102-W166</f>
        <v>838.101</v>
      </c>
      <c r="X167" s="11">
        <f t="shared" si="107"/>
        <v>919.38</v>
      </c>
      <c r="Y167" s="11">
        <f t="shared" si="107"/>
        <v>909.13799999999992</v>
      </c>
      <c r="Z167" s="11">
        <f t="shared" si="107"/>
        <v>1031.336</v>
      </c>
      <c r="AA167" s="11">
        <f t="shared" si="107"/>
        <v>1062.143</v>
      </c>
      <c r="AB167" s="11">
        <f t="shared" si="107"/>
        <v>1096.8280000000002</v>
      </c>
      <c r="AC167" s="11">
        <f t="shared" si="107"/>
        <v>980.89200000000005</v>
      </c>
      <c r="AD167" s="11">
        <f t="shared" ca="1" si="107"/>
        <v>919.88310998065958</v>
      </c>
      <c r="AE167" s="11">
        <f t="shared" ca="1" si="107"/>
        <v>885.89139276797994</v>
      </c>
      <c r="AF167" s="11">
        <f t="shared" ca="1" si="107"/>
        <v>948.79287975407942</v>
      </c>
      <c r="AG167" s="11">
        <f t="shared" ca="1" si="107"/>
        <v>964.02041493049251</v>
      </c>
      <c r="AH167" s="11">
        <f t="shared" ca="1" si="107"/>
        <v>968.73236878034993</v>
      </c>
      <c r="AI167" s="11">
        <f t="shared" ca="1" si="107"/>
        <v>1038.3570446007491</v>
      </c>
      <c r="AJ167" s="11">
        <f t="shared" ca="1" si="107"/>
        <v>1060.5355422234552</v>
      </c>
      <c r="AK167" s="11">
        <f t="shared" ca="1" si="107"/>
        <v>998.01247426055284</v>
      </c>
      <c r="AL167" s="11">
        <f t="shared" ca="1" si="107"/>
        <v>996.0985131722764</v>
      </c>
      <c r="AM167" s="11">
        <f t="shared" ca="1" si="107"/>
        <v>1066.762508923104</v>
      </c>
      <c r="AN167" s="11">
        <f t="shared" ca="1" si="107"/>
        <v>1126.8299800630261</v>
      </c>
      <c r="AO167" s="11">
        <f t="shared" ca="1" si="107"/>
        <v>1093.837878026829</v>
      </c>
      <c r="AP167" s="11">
        <f t="shared" ca="1" si="107"/>
        <v>1070.0549475701264</v>
      </c>
      <c r="AQ167" s="11">
        <f t="shared" ca="1" si="107"/>
        <v>1127.896649209712</v>
      </c>
      <c r="AR167" s="11">
        <f t="shared" ca="1" si="107"/>
        <v>1177.81043362842</v>
      </c>
      <c r="AS167" s="11">
        <f t="shared" ca="1" si="107"/>
        <v>1125.2636918620337</v>
      </c>
      <c r="AT167" s="11">
        <f t="shared" ca="1" si="107"/>
        <v>1076.3430890379391</v>
      </c>
      <c r="AU167" s="11">
        <f t="shared" ca="1" si="107"/>
        <v>1121.8144527493926</v>
      </c>
      <c r="AV167" s="11">
        <f t="shared" ca="1" si="107"/>
        <v>1179.7532213091717</v>
      </c>
      <c r="AW167" s="11">
        <f t="shared" ca="1" si="107"/>
        <v>1124.2443280519124</v>
      </c>
      <c r="AX167" s="11">
        <f t="shared" ca="1" si="107"/>
        <v>1071.0861978199639</v>
      </c>
      <c r="AY167" s="11">
        <f t="shared" ca="1" si="107"/>
        <v>1123.7973936331048</v>
      </c>
      <c r="AZ167" s="11">
        <f t="shared" ca="1" si="107"/>
        <v>1191.7340622542079</v>
      </c>
      <c r="BA167" s="11">
        <f t="shared" ca="1" si="107"/>
        <v>1134.5415529944592</v>
      </c>
      <c r="BB167" s="8" t="s">
        <v>75</v>
      </c>
    </row>
    <row r="168" spans="1:54" x14ac:dyDescent="0.2">
      <c r="B168" s="1" t="s">
        <v>365</v>
      </c>
      <c r="C168" s="45" t="s">
        <v>187</v>
      </c>
      <c r="E168" s="11"/>
      <c r="G168" s="11">
        <f t="shared" ref="G168:N168" si="108">+SUMIFS(168:168,$3:$3,"4Q"&amp;RIGHT(G$3,2))</f>
        <v>1050.3109999999999</v>
      </c>
      <c r="H168" s="11">
        <f t="shared" si="108"/>
        <v>952.654</v>
      </c>
      <c r="I168" s="11">
        <f t="shared" ca="1" si="108"/>
        <v>930.11944160926146</v>
      </c>
      <c r="J168" s="11">
        <f t="shared" ca="1" si="108"/>
        <v>937.32632308568691</v>
      </c>
      <c r="K168" s="11">
        <f t="shared" ca="1" si="108"/>
        <v>942.321654889711</v>
      </c>
      <c r="L168" s="11">
        <f t="shared" ca="1" si="108"/>
        <v>947.82446162853307</v>
      </c>
      <c r="M168" s="11">
        <f t="shared" ca="1" si="108"/>
        <v>953.8902455516926</v>
      </c>
      <c r="N168" s="11">
        <f t="shared" ca="1" si="108"/>
        <v>960.34285579320476</v>
      </c>
      <c r="P168" s="11"/>
      <c r="R168" s="163"/>
      <c r="S168" s="163"/>
      <c r="T168" s="163"/>
      <c r="U168" s="163"/>
      <c r="V168" s="11">
        <f t="shared" ref="V168:AD168" si="109">+SUM(V102:V110)-SUM(V136:V144,V133:V134)</f>
        <v>876.49120284620221</v>
      </c>
      <c r="W168" s="11">
        <f t="shared" si="109"/>
        <v>1011.4850000000001</v>
      </c>
      <c r="X168" s="11">
        <f t="shared" si="109"/>
        <v>1104.9480000000003</v>
      </c>
      <c r="Y168" s="11">
        <f t="shared" si="109"/>
        <v>1050.3109999999999</v>
      </c>
      <c r="Z168" s="11">
        <f t="shared" si="109"/>
        <v>1062.0335948267348</v>
      </c>
      <c r="AA168" s="11">
        <f t="shared" si="109"/>
        <v>1227.4170000000004</v>
      </c>
      <c r="AB168" s="11">
        <f t="shared" si="109"/>
        <v>1231.7203954499914</v>
      </c>
      <c r="AC168" s="11">
        <f t="shared" si="109"/>
        <v>952.654</v>
      </c>
      <c r="AD168" s="11">
        <f t="shared" ca="1" si="109"/>
        <v>935.81099750476108</v>
      </c>
      <c r="AE168" s="11">
        <f t="shared" ref="AE168:BA168" ca="1" si="110">+SUM(AE102:AE110)-SUM(AE136:AE144,AE133:AE134)</f>
        <v>954.77421683047965</v>
      </c>
      <c r="AF168" s="11">
        <f t="shared" ca="1" si="110"/>
        <v>951.95077692502537</v>
      </c>
      <c r="AG168" s="11">
        <f t="shared" ca="1" si="110"/>
        <v>930.11944160926146</v>
      </c>
      <c r="AH168" s="11">
        <f t="shared" ca="1" si="110"/>
        <v>943.67103218683576</v>
      </c>
      <c r="AI168" s="11">
        <f t="shared" ca="1" si="110"/>
        <v>965.02113908938907</v>
      </c>
      <c r="AJ168" s="11">
        <f t="shared" ca="1" si="110"/>
        <v>961.85639159858067</v>
      </c>
      <c r="AK168" s="11">
        <f t="shared" ca="1" si="110"/>
        <v>937.32632308568691</v>
      </c>
      <c r="AL168" s="11">
        <f t="shared" ca="1" si="110"/>
        <v>949.29661063469916</v>
      </c>
      <c r="AM168" s="11">
        <f t="shared" ca="1" si="110"/>
        <v>973.27677760796109</v>
      </c>
      <c r="AN168" s="11">
        <f t="shared" ca="1" si="110"/>
        <v>969.80540260126531</v>
      </c>
      <c r="AO168" s="11">
        <f t="shared" ca="1" si="110"/>
        <v>942.321654889711</v>
      </c>
      <c r="AP168" s="11">
        <f t="shared" ca="1" si="110"/>
        <v>954.58648777941892</v>
      </c>
      <c r="AQ168" s="11">
        <f t="shared" ca="1" si="110"/>
        <v>982.42555747554343</v>
      </c>
      <c r="AR168" s="11">
        <f t="shared" ca="1" si="110"/>
        <v>978.61570237671003</v>
      </c>
      <c r="AS168" s="11">
        <f t="shared" ca="1" si="110"/>
        <v>947.82446162853307</v>
      </c>
      <c r="AT168" s="11">
        <f t="shared" ca="1" si="110"/>
        <v>962.34376399728126</v>
      </c>
      <c r="AU168" s="11">
        <f t="shared" ca="1" si="110"/>
        <v>992.56735336349288</v>
      </c>
      <c r="AV168" s="11">
        <f t="shared" ca="1" si="110"/>
        <v>988.38377506191102</v>
      </c>
      <c r="AW168" s="11">
        <f t="shared" ca="1" si="110"/>
        <v>953.8902455516926</v>
      </c>
      <c r="AX168" s="11">
        <f t="shared" ca="1" si="110"/>
        <v>969.62668369666005</v>
      </c>
      <c r="AY168" s="11">
        <f t="shared" ca="1" si="110"/>
        <v>1003.3759260441218</v>
      </c>
      <c r="AZ168" s="11">
        <f t="shared" ca="1" si="110"/>
        <v>998.79320071538802</v>
      </c>
      <c r="BA168" s="11">
        <f t="shared" ca="1" si="110"/>
        <v>960.34285579320476</v>
      </c>
      <c r="BB168" s="8" t="s">
        <v>75</v>
      </c>
    </row>
    <row r="169" spans="1:54" x14ac:dyDescent="0.2">
      <c r="B169" s="1" t="s">
        <v>366</v>
      </c>
      <c r="C169" s="45" t="s">
        <v>187</v>
      </c>
      <c r="E169" s="11"/>
      <c r="G169" s="23">
        <f t="shared" ref="G169:N169" si="111">+SUMIFS(169:169,$6:$6,G$3)</f>
        <v>173.81979715379771</v>
      </c>
      <c r="H169" s="23">
        <f t="shared" si="111"/>
        <v>-97.656999999999925</v>
      </c>
      <c r="I169" s="23">
        <f t="shared" ca="1" si="111"/>
        <v>-22.534558390738539</v>
      </c>
      <c r="J169" s="23">
        <f t="shared" ca="1" si="111"/>
        <v>7.2068814764254512</v>
      </c>
      <c r="K169" s="23">
        <f t="shared" ca="1" si="111"/>
        <v>4.9953318040240902</v>
      </c>
      <c r="L169" s="23">
        <f t="shared" ca="1" si="111"/>
        <v>5.5028067388220734</v>
      </c>
      <c r="M169" s="23">
        <f t="shared" ca="1" si="111"/>
        <v>6.065783923159529</v>
      </c>
      <c r="N169" s="23">
        <f t="shared" ca="1" si="111"/>
        <v>6.4526102415121613</v>
      </c>
      <c r="R169" s="163"/>
      <c r="S169" s="163"/>
      <c r="T169" s="163"/>
      <c r="U169" s="163"/>
      <c r="V169" s="11"/>
      <c r="W169" s="11">
        <f t="shared" ref="W169:AC169" si="112">+W168-V168</f>
        <v>134.99379715379791</v>
      </c>
      <c r="X169" s="11">
        <f t="shared" si="112"/>
        <v>93.463000000000193</v>
      </c>
      <c r="Y169" s="11">
        <f t="shared" si="112"/>
        <v>-54.637000000000398</v>
      </c>
      <c r="Z169" s="11">
        <f t="shared" si="112"/>
        <v>11.722594826734849</v>
      </c>
      <c r="AA169" s="11">
        <f t="shared" si="112"/>
        <v>165.3834051732656</v>
      </c>
      <c r="AB169" s="11">
        <f t="shared" si="112"/>
        <v>4.3033954499910578</v>
      </c>
      <c r="AC169" s="11">
        <f t="shared" si="112"/>
        <v>-279.06639544999143</v>
      </c>
      <c r="AD169" s="11">
        <f ca="1">+AD168-AC168</f>
        <v>-16.84300249523892</v>
      </c>
      <c r="AE169" s="11">
        <f t="shared" ref="AE169:BA169" ca="1" si="113">+AE168-AD168</f>
        <v>18.963219325718569</v>
      </c>
      <c r="AF169" s="11">
        <f t="shared" ca="1" si="113"/>
        <v>-2.8234399054542791</v>
      </c>
      <c r="AG169" s="11">
        <f t="shared" ca="1" si="113"/>
        <v>-21.831335315763909</v>
      </c>
      <c r="AH169" s="11">
        <f t="shared" ca="1" si="113"/>
        <v>13.551590577574302</v>
      </c>
      <c r="AI169" s="11">
        <f t="shared" ca="1" si="113"/>
        <v>21.350106902553307</v>
      </c>
      <c r="AJ169" s="11">
        <f t="shared" ca="1" si="113"/>
        <v>-3.164747490808395</v>
      </c>
      <c r="AK169" s="11">
        <f t="shared" ca="1" si="113"/>
        <v>-24.530068512893763</v>
      </c>
      <c r="AL169" s="11">
        <f t="shared" ca="1" si="113"/>
        <v>11.970287549012255</v>
      </c>
      <c r="AM169" s="11">
        <f t="shared" ca="1" si="113"/>
        <v>23.98016697326193</v>
      </c>
      <c r="AN169" s="11">
        <f t="shared" ca="1" si="113"/>
        <v>-3.47137500669578</v>
      </c>
      <c r="AO169" s="11">
        <f t="shared" ca="1" si="113"/>
        <v>-27.483747711554315</v>
      </c>
      <c r="AP169" s="11">
        <f t="shared" ca="1" si="113"/>
        <v>12.264832889707918</v>
      </c>
      <c r="AQ169" s="11">
        <f t="shared" ca="1" si="113"/>
        <v>27.839069696124511</v>
      </c>
      <c r="AR169" s="11">
        <f t="shared" ca="1" si="113"/>
        <v>-3.8098550988333955</v>
      </c>
      <c r="AS169" s="11">
        <f t="shared" ca="1" si="113"/>
        <v>-30.791240748176961</v>
      </c>
      <c r="AT169" s="11">
        <f t="shared" ca="1" si="113"/>
        <v>14.519302368748185</v>
      </c>
      <c r="AU169" s="11">
        <f t="shared" ca="1" si="113"/>
        <v>30.223589366211627</v>
      </c>
      <c r="AV169" s="11">
        <f t="shared" ca="1" si="113"/>
        <v>-4.1835783015818606</v>
      </c>
      <c r="AW169" s="11">
        <f t="shared" ca="1" si="113"/>
        <v>-34.493529510218423</v>
      </c>
      <c r="AX169" s="11">
        <f t="shared" ca="1" si="113"/>
        <v>15.736438144967451</v>
      </c>
      <c r="AY169" s="11">
        <f t="shared" ca="1" si="113"/>
        <v>33.749242347461745</v>
      </c>
      <c r="AZ169" s="11">
        <f t="shared" ca="1" si="113"/>
        <v>-4.5827253287337726</v>
      </c>
      <c r="BA169" s="11">
        <f t="shared" ca="1" si="113"/>
        <v>-38.450344922183262</v>
      </c>
      <c r="BB169" s="8" t="s">
        <v>75</v>
      </c>
    </row>
    <row r="170" spans="1:54" x14ac:dyDescent="0.2">
      <c r="E170" s="11"/>
      <c r="R170" s="163"/>
      <c r="S170" s="163"/>
      <c r="T170" s="163"/>
      <c r="U170" s="163"/>
      <c r="V170" s="163"/>
      <c r="W170" s="163"/>
      <c r="X170" s="163"/>
      <c r="Y170" s="163"/>
      <c r="Z170" s="163"/>
      <c r="AA170" s="163"/>
      <c r="AB170" s="163"/>
      <c r="AC170" s="163"/>
      <c r="BB170" s="8" t="s">
        <v>75</v>
      </c>
    </row>
    <row r="171" spans="1:54" x14ac:dyDescent="0.2">
      <c r="B171" s="1" t="s">
        <v>350</v>
      </c>
      <c r="C171" s="45" t="s">
        <v>352</v>
      </c>
      <c r="D171" s="181">
        <f ca="1">+Ctrl!G68</f>
        <v>35</v>
      </c>
      <c r="E171" s="11"/>
      <c r="G171" s="163">
        <f t="shared" ref="G171:N171" si="114">+G103/G$8*(G$5-G$4)</f>
        <v>31.958590322460267</v>
      </c>
      <c r="H171" s="163">
        <f t="shared" si="114"/>
        <v>36.909834669650493</v>
      </c>
      <c r="I171" s="163">
        <f t="shared" ca="1" si="114"/>
        <v>28.697356929364904</v>
      </c>
      <c r="J171" s="163">
        <f t="shared" ca="1" si="114"/>
        <v>28.718014607237841</v>
      </c>
      <c r="K171" s="163">
        <f t="shared" ca="1" si="114"/>
        <v>28.526475201380492</v>
      </c>
      <c r="L171" s="163">
        <f t="shared" ca="1" si="114"/>
        <v>28.416654988762616</v>
      </c>
      <c r="M171" s="163">
        <f t="shared" ca="1" si="114"/>
        <v>28.155515729105751</v>
      </c>
      <c r="N171" s="163">
        <f t="shared" ca="1" si="114"/>
        <v>27.988026226450152</v>
      </c>
      <c r="R171" s="163">
        <f t="shared" ref="R171:AC171" si="115">+R103/R$8*(R$5-R$4)</f>
        <v>38.064217321963483</v>
      </c>
      <c r="S171" s="163">
        <f t="shared" si="115"/>
        <v>38.984686734653273</v>
      </c>
      <c r="T171" s="163">
        <f t="shared" si="115"/>
        <v>38.657262708587979</v>
      </c>
      <c r="U171" s="163">
        <f t="shared" si="115"/>
        <v>21.713887279320033</v>
      </c>
      <c r="V171" s="163">
        <f t="shared" si="115"/>
        <v>65.853195525327138</v>
      </c>
      <c r="W171" s="163">
        <f t="shared" si="115"/>
        <v>43.643864790682883</v>
      </c>
      <c r="X171" s="163">
        <f t="shared" si="115"/>
        <v>41.464399027944744</v>
      </c>
      <c r="Y171" s="163">
        <f t="shared" si="115"/>
        <v>33.878624031971498</v>
      </c>
      <c r="Z171" s="163">
        <f t="shared" si="115"/>
        <v>54.704667434737402</v>
      </c>
      <c r="AA171" s="163">
        <f t="shared" si="115"/>
        <v>38.409038116355191</v>
      </c>
      <c r="AB171" s="163">
        <f t="shared" si="115"/>
        <v>31.804982079112488</v>
      </c>
      <c r="AC171" s="163">
        <f t="shared" si="115"/>
        <v>37.619480606629971</v>
      </c>
      <c r="AD171" s="106">
        <f t="shared" ref="AD171:AM172" ca="1" si="116">+$D171</f>
        <v>35</v>
      </c>
      <c r="AE171" s="11">
        <f t="shared" ca="1" si="116"/>
        <v>35</v>
      </c>
      <c r="AF171" s="11">
        <f t="shared" ca="1" si="116"/>
        <v>35</v>
      </c>
      <c r="AG171" s="11">
        <f t="shared" ca="1" si="116"/>
        <v>35</v>
      </c>
      <c r="AH171" s="11">
        <f t="shared" ca="1" si="116"/>
        <v>35</v>
      </c>
      <c r="AI171" s="11">
        <f t="shared" ca="1" si="116"/>
        <v>35</v>
      </c>
      <c r="AJ171" s="11">
        <f t="shared" ca="1" si="116"/>
        <v>35</v>
      </c>
      <c r="AK171" s="11">
        <f t="shared" ca="1" si="116"/>
        <v>35</v>
      </c>
      <c r="AL171" s="11">
        <f t="shared" ca="1" si="116"/>
        <v>35</v>
      </c>
      <c r="AM171" s="11">
        <f t="shared" ca="1" si="116"/>
        <v>35</v>
      </c>
      <c r="AN171" s="11">
        <f t="shared" ref="AN171:BA172" ca="1" si="117">+$D171</f>
        <v>35</v>
      </c>
      <c r="AO171" s="11">
        <f t="shared" ca="1" si="117"/>
        <v>35</v>
      </c>
      <c r="AP171" s="11">
        <f t="shared" ca="1" si="117"/>
        <v>35</v>
      </c>
      <c r="AQ171" s="11">
        <f t="shared" ca="1" si="117"/>
        <v>35</v>
      </c>
      <c r="AR171" s="11">
        <f t="shared" ca="1" si="117"/>
        <v>35</v>
      </c>
      <c r="AS171" s="11">
        <f t="shared" ca="1" si="117"/>
        <v>35</v>
      </c>
      <c r="AT171" s="11">
        <f t="shared" ca="1" si="117"/>
        <v>35</v>
      </c>
      <c r="AU171" s="11">
        <f t="shared" ca="1" si="117"/>
        <v>35</v>
      </c>
      <c r="AV171" s="11">
        <f t="shared" ca="1" si="117"/>
        <v>35</v>
      </c>
      <c r="AW171" s="11">
        <f t="shared" ca="1" si="117"/>
        <v>35</v>
      </c>
      <c r="AX171" s="11">
        <f t="shared" ca="1" si="117"/>
        <v>35</v>
      </c>
      <c r="AY171" s="11">
        <f t="shared" ca="1" si="117"/>
        <v>35</v>
      </c>
      <c r="AZ171" s="11">
        <f t="shared" ca="1" si="117"/>
        <v>35</v>
      </c>
      <c r="BA171" s="11">
        <f t="shared" ca="1" si="117"/>
        <v>35</v>
      </c>
      <c r="BB171" s="8" t="s">
        <v>75</v>
      </c>
    </row>
    <row r="172" spans="1:54" x14ac:dyDescent="0.2">
      <c r="B172" s="1" t="s">
        <v>351</v>
      </c>
      <c r="C172" s="45" t="s">
        <v>352</v>
      </c>
      <c r="D172" s="181">
        <f ca="1">+Ctrl!G69</f>
        <v>18</v>
      </c>
      <c r="E172" s="11"/>
      <c r="G172" s="163">
        <f t="shared" ref="G172:N172" si="118">+G133/G$8*(G$5-G$4)</f>
        <v>19.382778307896519</v>
      </c>
      <c r="H172" s="163">
        <f t="shared" si="118"/>
        <v>17.101866284386258</v>
      </c>
      <c r="I172" s="163">
        <f t="shared" ca="1" si="118"/>
        <v>14.758640706530525</v>
      </c>
      <c r="J172" s="163">
        <f t="shared" ca="1" si="118"/>
        <v>14.76926465515089</v>
      </c>
      <c r="K172" s="163">
        <f t="shared" ca="1" si="118"/>
        <v>14.670758674995684</v>
      </c>
      <c r="L172" s="163">
        <f t="shared" ca="1" si="118"/>
        <v>14.614279708506489</v>
      </c>
      <c r="M172" s="163">
        <f t="shared" ca="1" si="118"/>
        <v>14.479979517825818</v>
      </c>
      <c r="N172" s="163">
        <f t="shared" ca="1" si="118"/>
        <v>14.393842059317221</v>
      </c>
      <c r="R172" s="163">
        <f t="shared" ref="R172:AC172" si="119">+R133/R$8*(R$5-R$4)</f>
        <v>27.135826227173482</v>
      </c>
      <c r="S172" s="163">
        <f t="shared" si="119"/>
        <v>21.841426488729393</v>
      </c>
      <c r="T172" s="163">
        <f t="shared" si="119"/>
        <v>27.764902015538048</v>
      </c>
      <c r="U172" s="163">
        <f t="shared" si="119"/>
        <v>12.900721670346325</v>
      </c>
      <c r="V172" s="163">
        <f t="shared" si="119"/>
        <v>43.022519793559141</v>
      </c>
      <c r="W172" s="163">
        <f t="shared" si="119"/>
        <v>18.981701857749997</v>
      </c>
      <c r="X172" s="163">
        <f t="shared" si="119"/>
        <v>21.699405516891478</v>
      </c>
      <c r="Y172" s="163">
        <f t="shared" si="119"/>
        <v>20.54727234094495</v>
      </c>
      <c r="Z172" s="163">
        <f t="shared" si="119"/>
        <v>48.121625202409874</v>
      </c>
      <c r="AA172" s="163">
        <f t="shared" si="119"/>
        <v>23.998732974342733</v>
      </c>
      <c r="AB172" s="163">
        <f t="shared" si="119"/>
        <v>18.169923698944352</v>
      </c>
      <c r="AC172" s="163">
        <f t="shared" si="119"/>
        <v>17.430674853487222</v>
      </c>
      <c r="AD172" s="106">
        <f t="shared" ca="1" si="116"/>
        <v>18</v>
      </c>
      <c r="AE172" s="11">
        <f t="shared" ca="1" si="116"/>
        <v>18</v>
      </c>
      <c r="AF172" s="11">
        <f t="shared" ca="1" si="116"/>
        <v>18</v>
      </c>
      <c r="AG172" s="11">
        <f t="shared" ca="1" si="116"/>
        <v>18</v>
      </c>
      <c r="AH172" s="11">
        <f t="shared" ca="1" si="116"/>
        <v>18</v>
      </c>
      <c r="AI172" s="11">
        <f t="shared" ca="1" si="116"/>
        <v>18</v>
      </c>
      <c r="AJ172" s="11">
        <f t="shared" ca="1" si="116"/>
        <v>18</v>
      </c>
      <c r="AK172" s="11">
        <f t="shared" ca="1" si="116"/>
        <v>18</v>
      </c>
      <c r="AL172" s="11">
        <f t="shared" ca="1" si="116"/>
        <v>18</v>
      </c>
      <c r="AM172" s="11">
        <f t="shared" ca="1" si="116"/>
        <v>18</v>
      </c>
      <c r="AN172" s="11">
        <f t="shared" ca="1" si="117"/>
        <v>18</v>
      </c>
      <c r="AO172" s="11">
        <f t="shared" ca="1" si="117"/>
        <v>18</v>
      </c>
      <c r="AP172" s="11">
        <f t="shared" ca="1" si="117"/>
        <v>18</v>
      </c>
      <c r="AQ172" s="11">
        <f t="shared" ca="1" si="117"/>
        <v>18</v>
      </c>
      <c r="AR172" s="11">
        <f t="shared" ca="1" si="117"/>
        <v>18</v>
      </c>
      <c r="AS172" s="11">
        <f t="shared" ca="1" si="117"/>
        <v>18</v>
      </c>
      <c r="AT172" s="11">
        <f t="shared" ca="1" si="117"/>
        <v>18</v>
      </c>
      <c r="AU172" s="11">
        <f t="shared" ca="1" si="117"/>
        <v>18</v>
      </c>
      <c r="AV172" s="11">
        <f t="shared" ca="1" si="117"/>
        <v>18</v>
      </c>
      <c r="AW172" s="11">
        <f t="shared" ca="1" si="117"/>
        <v>18</v>
      </c>
      <c r="AX172" s="11">
        <f t="shared" ca="1" si="117"/>
        <v>18</v>
      </c>
      <c r="AY172" s="11">
        <f t="shared" ca="1" si="117"/>
        <v>18</v>
      </c>
      <c r="AZ172" s="11">
        <f t="shared" ca="1" si="117"/>
        <v>18</v>
      </c>
      <c r="BA172" s="11">
        <f t="shared" ca="1" si="117"/>
        <v>18</v>
      </c>
      <c r="BB172" s="8" t="s">
        <v>75</v>
      </c>
    </row>
    <row r="173" spans="1:54" x14ac:dyDescent="0.2">
      <c r="E173" s="11"/>
      <c r="R173" s="163"/>
      <c r="S173" s="163"/>
      <c r="T173" s="163"/>
      <c r="U173" s="163"/>
      <c r="V173" s="163"/>
      <c r="W173" s="163"/>
      <c r="X173" s="163"/>
      <c r="Y173" s="163"/>
      <c r="Z173" s="163"/>
      <c r="AA173" s="163"/>
      <c r="AB173" s="163"/>
      <c r="AC173" s="163"/>
      <c r="BB173" s="8" t="s">
        <v>75</v>
      </c>
    </row>
    <row r="174" spans="1:54" s="3" customFormat="1" x14ac:dyDescent="0.2">
      <c r="A174" s="17" t="s">
        <v>75</v>
      </c>
      <c r="B174" s="3" t="s">
        <v>334</v>
      </c>
      <c r="AD174" s="109"/>
      <c r="AE174" s="109"/>
      <c r="AF174" s="109"/>
      <c r="AG174" s="109"/>
      <c r="AH174" s="109"/>
      <c r="AI174" s="109"/>
      <c r="AJ174" s="109"/>
      <c r="AK174" s="109"/>
      <c r="AL174" s="109"/>
      <c r="AM174" s="109"/>
      <c r="BB174" s="87" t="s">
        <v>75</v>
      </c>
    </row>
    <row r="175" spans="1:54" x14ac:dyDescent="0.2">
      <c r="B175" s="1" t="s">
        <v>335</v>
      </c>
      <c r="C175" s="45" t="s">
        <v>346</v>
      </c>
      <c r="G175" s="21">
        <f t="shared" ref="G175:N177" si="120">+SUMIFS(175:175,$3:$3,"4Q"&amp;RIGHT(G$3,2))</f>
        <v>748610.66500000004</v>
      </c>
      <c r="H175" s="21">
        <f t="shared" si="120"/>
        <v>748610.66500000004</v>
      </c>
      <c r="I175" s="21">
        <f t="shared" ca="1" si="120"/>
        <v>748610.66500000004</v>
      </c>
      <c r="J175" s="21">
        <f t="shared" ca="1" si="120"/>
        <v>748610.66500000004</v>
      </c>
      <c r="K175" s="21">
        <f t="shared" ca="1" si="120"/>
        <v>748610.66500000004</v>
      </c>
      <c r="L175" s="21">
        <f t="shared" ca="1" si="120"/>
        <v>748610.66500000004</v>
      </c>
      <c r="M175" s="21">
        <f t="shared" ca="1" si="120"/>
        <v>748610.66500000004</v>
      </c>
      <c r="N175" s="21">
        <f t="shared" ca="1" si="120"/>
        <v>748610.66500000004</v>
      </c>
      <c r="R175" s="21"/>
      <c r="S175" s="21">
        <f t="shared" ref="S175:AC175" si="121">+R177</f>
        <v>748610.66500000004</v>
      </c>
      <c r="T175" s="21">
        <f t="shared" si="121"/>
        <v>748610.66500000004</v>
      </c>
      <c r="U175" s="21">
        <f t="shared" si="121"/>
        <v>748610.66500000004</v>
      </c>
      <c r="V175" s="21">
        <f t="shared" si="121"/>
        <v>748610.66500000004</v>
      </c>
      <c r="W175" s="21">
        <f t="shared" si="121"/>
        <v>748610.66500000004</v>
      </c>
      <c r="X175" s="21">
        <f t="shared" si="121"/>
        <v>748610.66500000004</v>
      </c>
      <c r="Y175" s="21">
        <f t="shared" si="121"/>
        <v>748610.66500000004</v>
      </c>
      <c r="Z175" s="21">
        <f t="shared" si="121"/>
        <v>748610.66500000004</v>
      </c>
      <c r="AA175" s="21">
        <f t="shared" si="121"/>
        <v>748610.66500000004</v>
      </c>
      <c r="AB175" s="21">
        <f t="shared" si="121"/>
        <v>748610.66500000004</v>
      </c>
      <c r="AC175" s="21">
        <f t="shared" si="121"/>
        <v>748610.66500000004</v>
      </c>
      <c r="AD175" s="21">
        <f>+AC177</f>
        <v>748610.66500000004</v>
      </c>
      <c r="AE175" s="21">
        <f>+AD177</f>
        <v>748610.66500000004</v>
      </c>
      <c r="AF175" s="21">
        <f t="shared" ref="AF175:BA175" ca="1" si="122">+AE177</f>
        <v>748610.66500000004</v>
      </c>
      <c r="AG175" s="21">
        <f t="shared" ca="1" si="122"/>
        <v>748610.66500000004</v>
      </c>
      <c r="AH175" s="21">
        <f t="shared" ca="1" si="122"/>
        <v>748610.66500000004</v>
      </c>
      <c r="AI175" s="21">
        <f t="shared" ca="1" si="122"/>
        <v>748610.66500000004</v>
      </c>
      <c r="AJ175" s="21">
        <f t="shared" ca="1" si="122"/>
        <v>748610.66500000004</v>
      </c>
      <c r="AK175" s="21">
        <f t="shared" ca="1" si="122"/>
        <v>748610.66500000004</v>
      </c>
      <c r="AL175" s="21">
        <f t="shared" ca="1" si="122"/>
        <v>748610.66500000004</v>
      </c>
      <c r="AM175" s="21">
        <f t="shared" ca="1" si="122"/>
        <v>748610.66500000004</v>
      </c>
      <c r="AN175" s="21">
        <f t="shared" ca="1" si="122"/>
        <v>748610.66500000004</v>
      </c>
      <c r="AO175" s="21">
        <f t="shared" ca="1" si="122"/>
        <v>748610.66500000004</v>
      </c>
      <c r="AP175" s="21">
        <f t="shared" ca="1" si="122"/>
        <v>748610.66500000004</v>
      </c>
      <c r="AQ175" s="21">
        <f t="shared" ca="1" si="122"/>
        <v>748610.66500000004</v>
      </c>
      <c r="AR175" s="21">
        <f t="shared" ca="1" si="122"/>
        <v>748610.66500000004</v>
      </c>
      <c r="AS175" s="21">
        <f t="shared" ca="1" si="122"/>
        <v>748610.66500000004</v>
      </c>
      <c r="AT175" s="21">
        <f t="shared" ca="1" si="122"/>
        <v>748610.66500000004</v>
      </c>
      <c r="AU175" s="21">
        <f t="shared" ca="1" si="122"/>
        <v>748610.66500000004</v>
      </c>
      <c r="AV175" s="21">
        <f t="shared" ca="1" si="122"/>
        <v>748610.66500000004</v>
      </c>
      <c r="AW175" s="21">
        <f t="shared" ca="1" si="122"/>
        <v>748610.66500000004</v>
      </c>
      <c r="AX175" s="21">
        <f t="shared" ca="1" si="122"/>
        <v>748610.66500000004</v>
      </c>
      <c r="AY175" s="21">
        <f t="shared" ca="1" si="122"/>
        <v>748610.66500000004</v>
      </c>
      <c r="AZ175" s="21">
        <f t="shared" ca="1" si="122"/>
        <v>748610.66500000004</v>
      </c>
      <c r="BA175" s="21">
        <f t="shared" ca="1" si="122"/>
        <v>748610.66500000004</v>
      </c>
      <c r="BB175" s="8" t="s">
        <v>75</v>
      </c>
    </row>
    <row r="176" spans="1:54" x14ac:dyDescent="0.2">
      <c r="B176" s="1" t="s">
        <v>337</v>
      </c>
      <c r="C176" s="45" t="s">
        <v>346</v>
      </c>
      <c r="G176" s="21">
        <f t="shared" si="120"/>
        <v>0</v>
      </c>
      <c r="H176" s="21">
        <f t="shared" si="120"/>
        <v>0</v>
      </c>
      <c r="I176" s="21">
        <f t="shared" ca="1" si="120"/>
        <v>0</v>
      </c>
      <c r="J176" s="21">
        <f t="shared" ca="1" si="120"/>
        <v>0</v>
      </c>
      <c r="K176" s="21">
        <f t="shared" ca="1" si="120"/>
        <v>0</v>
      </c>
      <c r="L176" s="21">
        <f t="shared" ca="1" si="120"/>
        <v>0</v>
      </c>
      <c r="M176" s="21">
        <f t="shared" ca="1" si="120"/>
        <v>0</v>
      </c>
      <c r="N176" s="21">
        <f t="shared" ca="1" si="120"/>
        <v>0</v>
      </c>
      <c r="AE176" s="21">
        <f t="shared" ref="AE176:BA176" ca="1" si="123">+AE179/AE181</f>
        <v>0</v>
      </c>
      <c r="AF176" s="21">
        <f t="shared" ca="1" si="123"/>
        <v>0</v>
      </c>
      <c r="AG176" s="21">
        <f t="shared" ca="1" si="123"/>
        <v>0</v>
      </c>
      <c r="AH176" s="21">
        <f t="shared" ca="1" si="123"/>
        <v>0</v>
      </c>
      <c r="AI176" s="21">
        <f t="shared" ca="1" si="123"/>
        <v>0</v>
      </c>
      <c r="AJ176" s="21">
        <f t="shared" ca="1" si="123"/>
        <v>0</v>
      </c>
      <c r="AK176" s="21">
        <f t="shared" ca="1" si="123"/>
        <v>0</v>
      </c>
      <c r="AL176" s="21">
        <f t="shared" ca="1" si="123"/>
        <v>0</v>
      </c>
      <c r="AM176" s="21">
        <f t="shared" ca="1" si="123"/>
        <v>0</v>
      </c>
      <c r="AN176" s="21">
        <f t="shared" ca="1" si="123"/>
        <v>0</v>
      </c>
      <c r="AO176" s="21">
        <f t="shared" ca="1" si="123"/>
        <v>0</v>
      </c>
      <c r="AP176" s="21">
        <f t="shared" ca="1" si="123"/>
        <v>0</v>
      </c>
      <c r="AQ176" s="21">
        <f t="shared" ca="1" si="123"/>
        <v>0</v>
      </c>
      <c r="AR176" s="21">
        <f t="shared" ca="1" si="123"/>
        <v>0</v>
      </c>
      <c r="AS176" s="21">
        <f t="shared" ca="1" si="123"/>
        <v>0</v>
      </c>
      <c r="AT176" s="21">
        <f t="shared" ca="1" si="123"/>
        <v>0</v>
      </c>
      <c r="AU176" s="21">
        <f t="shared" ca="1" si="123"/>
        <v>0</v>
      </c>
      <c r="AV176" s="21">
        <f t="shared" ca="1" si="123"/>
        <v>0</v>
      </c>
      <c r="AW176" s="21">
        <f t="shared" ca="1" si="123"/>
        <v>0</v>
      </c>
      <c r="AX176" s="21">
        <f t="shared" ca="1" si="123"/>
        <v>0</v>
      </c>
      <c r="AY176" s="21">
        <f t="shared" ca="1" si="123"/>
        <v>0</v>
      </c>
      <c r="AZ176" s="21">
        <f t="shared" ca="1" si="123"/>
        <v>0</v>
      </c>
      <c r="BA176" s="21">
        <f t="shared" ca="1" si="123"/>
        <v>0</v>
      </c>
      <c r="BB176" s="8" t="s">
        <v>75</v>
      </c>
    </row>
    <row r="177" spans="2:54" x14ac:dyDescent="0.2">
      <c r="B177" s="1" t="s">
        <v>336</v>
      </c>
      <c r="C177" s="45" t="s">
        <v>346</v>
      </c>
      <c r="G177" s="21">
        <f t="shared" si="120"/>
        <v>748610.66500000004</v>
      </c>
      <c r="H177" s="21">
        <f t="shared" si="120"/>
        <v>748610.66500000004</v>
      </c>
      <c r="I177" s="21">
        <f t="shared" ca="1" si="120"/>
        <v>748610.66500000004</v>
      </c>
      <c r="J177" s="21">
        <f t="shared" ca="1" si="120"/>
        <v>748610.66500000004</v>
      </c>
      <c r="K177" s="21">
        <f t="shared" ca="1" si="120"/>
        <v>748610.66500000004</v>
      </c>
      <c r="L177" s="21">
        <f t="shared" ca="1" si="120"/>
        <v>748610.66500000004</v>
      </c>
      <c r="M177" s="21">
        <f t="shared" ca="1" si="120"/>
        <v>748610.66500000004</v>
      </c>
      <c r="N177" s="21">
        <f t="shared" ca="1" si="120"/>
        <v>748610.66500000004</v>
      </c>
      <c r="R177" s="14">
        <v>748610.66500000004</v>
      </c>
      <c r="S177" s="14">
        <v>748610.66500000004</v>
      </c>
      <c r="T177" s="14">
        <v>748610.66500000004</v>
      </c>
      <c r="U177" s="14">
        <v>748610.66500000004</v>
      </c>
      <c r="V177" s="14">
        <v>748610.66500000004</v>
      </c>
      <c r="W177" s="14">
        <v>748610.66500000004</v>
      </c>
      <c r="X177" s="14">
        <v>748610.66500000004</v>
      </c>
      <c r="Y177" s="14">
        <v>748610.66500000004</v>
      </c>
      <c r="Z177" s="14">
        <v>748610.66500000004</v>
      </c>
      <c r="AA177" s="14">
        <v>748610.66500000004</v>
      </c>
      <c r="AB177" s="14">
        <v>748610.66500000004</v>
      </c>
      <c r="AC177" s="14">
        <v>748610.66500000004</v>
      </c>
      <c r="AD177" s="14">
        <v>748610.66500000004</v>
      </c>
      <c r="AE177" s="21">
        <f ca="1">+AE175+AE176</f>
        <v>748610.66500000004</v>
      </c>
      <c r="AF177" s="21">
        <f t="shared" ref="AF177:BA177" ca="1" si="124">+AF175+AF176</f>
        <v>748610.66500000004</v>
      </c>
      <c r="AG177" s="21">
        <f t="shared" ca="1" si="124"/>
        <v>748610.66500000004</v>
      </c>
      <c r="AH177" s="21">
        <f t="shared" ca="1" si="124"/>
        <v>748610.66500000004</v>
      </c>
      <c r="AI177" s="21">
        <f t="shared" ca="1" si="124"/>
        <v>748610.66500000004</v>
      </c>
      <c r="AJ177" s="21">
        <f t="shared" ca="1" si="124"/>
        <v>748610.66500000004</v>
      </c>
      <c r="AK177" s="21">
        <f t="shared" ca="1" si="124"/>
        <v>748610.66500000004</v>
      </c>
      <c r="AL177" s="21">
        <f t="shared" ca="1" si="124"/>
        <v>748610.66500000004</v>
      </c>
      <c r="AM177" s="21">
        <f t="shared" ca="1" si="124"/>
        <v>748610.66500000004</v>
      </c>
      <c r="AN177" s="21">
        <f t="shared" ca="1" si="124"/>
        <v>748610.66500000004</v>
      </c>
      <c r="AO177" s="21">
        <f t="shared" ca="1" si="124"/>
        <v>748610.66500000004</v>
      </c>
      <c r="AP177" s="21">
        <f t="shared" ca="1" si="124"/>
        <v>748610.66500000004</v>
      </c>
      <c r="AQ177" s="21">
        <f t="shared" ca="1" si="124"/>
        <v>748610.66500000004</v>
      </c>
      <c r="AR177" s="21">
        <f t="shared" ca="1" si="124"/>
        <v>748610.66500000004</v>
      </c>
      <c r="AS177" s="21">
        <f t="shared" ca="1" si="124"/>
        <v>748610.66500000004</v>
      </c>
      <c r="AT177" s="21">
        <f t="shared" ca="1" si="124"/>
        <v>748610.66500000004</v>
      </c>
      <c r="AU177" s="21">
        <f t="shared" ca="1" si="124"/>
        <v>748610.66500000004</v>
      </c>
      <c r="AV177" s="21">
        <f t="shared" ca="1" si="124"/>
        <v>748610.66500000004</v>
      </c>
      <c r="AW177" s="21">
        <f t="shared" ca="1" si="124"/>
        <v>748610.66500000004</v>
      </c>
      <c r="AX177" s="21">
        <f t="shared" ca="1" si="124"/>
        <v>748610.66500000004</v>
      </c>
      <c r="AY177" s="21">
        <f t="shared" ca="1" si="124"/>
        <v>748610.66500000004</v>
      </c>
      <c r="AZ177" s="21">
        <f t="shared" ca="1" si="124"/>
        <v>748610.66500000004</v>
      </c>
      <c r="BA177" s="21">
        <f t="shared" ca="1" si="124"/>
        <v>748610.66500000004</v>
      </c>
      <c r="BB177" s="8" t="s">
        <v>75</v>
      </c>
    </row>
    <row r="178" spans="2:54" x14ac:dyDescent="0.2">
      <c r="BB178" s="8" t="s">
        <v>75</v>
      </c>
    </row>
    <row r="179" spans="2:54" x14ac:dyDescent="0.2">
      <c r="B179" s="1" t="s">
        <v>341</v>
      </c>
      <c r="C179" s="45" t="s">
        <v>187</v>
      </c>
      <c r="G179" s="11">
        <f t="shared" ref="G179:N179" si="125">+SUMIFS(179:179,$3:$3,"4Q"&amp;RIGHT(G$3,2))</f>
        <v>0</v>
      </c>
      <c r="H179" s="11">
        <f t="shared" si="125"/>
        <v>0</v>
      </c>
      <c r="I179" s="11">
        <f t="shared" ca="1" si="125"/>
        <v>0</v>
      </c>
      <c r="J179" s="11">
        <f t="shared" ca="1" si="125"/>
        <v>0</v>
      </c>
      <c r="K179" s="11">
        <f t="shared" ca="1" si="125"/>
        <v>0</v>
      </c>
      <c r="L179" s="11">
        <f t="shared" ca="1" si="125"/>
        <v>0</v>
      </c>
      <c r="M179" s="11">
        <f t="shared" ca="1" si="125"/>
        <v>0</v>
      </c>
      <c r="N179" s="11">
        <f t="shared" ca="1" si="125"/>
        <v>0</v>
      </c>
      <c r="R179" s="12">
        <v>0</v>
      </c>
      <c r="S179" s="12">
        <v>0</v>
      </c>
      <c r="T179" s="12">
        <v>0</v>
      </c>
      <c r="U179" s="12">
        <v>0</v>
      </c>
      <c r="V179" s="23">
        <f t="shared" ref="V179:AC179" si="126">+V86</f>
        <v>0</v>
      </c>
      <c r="W179" s="23">
        <f t="shared" si="126"/>
        <v>0</v>
      </c>
      <c r="X179" s="23">
        <f t="shared" si="126"/>
        <v>0</v>
      </c>
      <c r="Y179" s="23">
        <f t="shared" si="126"/>
        <v>0</v>
      </c>
      <c r="Z179" s="23">
        <f t="shared" si="126"/>
        <v>0</v>
      </c>
      <c r="AA179" s="23">
        <f t="shared" si="126"/>
        <v>0</v>
      </c>
      <c r="AB179" s="23">
        <f t="shared" si="126"/>
        <v>51.786000000000001</v>
      </c>
      <c r="AC179" s="23">
        <f t="shared" si="126"/>
        <v>0</v>
      </c>
      <c r="AD179" s="46">
        <f ca="1">+SUMIFS(Drivers!$62:$62,Drivers!$3:$3,Financials!AD$3)</f>
        <v>0</v>
      </c>
      <c r="AE179" s="46">
        <f ca="1">+SUMIFS(Drivers!$62:$62,Drivers!$3:$3,Financials!AE$3)</f>
        <v>0</v>
      </c>
      <c r="AF179" s="46">
        <f ca="1">+SUMIFS(Drivers!$62:$62,Drivers!$3:$3,Financials!AF$3)</f>
        <v>0</v>
      </c>
      <c r="AG179" s="46">
        <f ca="1">+SUMIFS(Drivers!$62:$62,Drivers!$3:$3,Financials!AG$3)</f>
        <v>0</v>
      </c>
      <c r="AH179" s="46">
        <f ca="1">+SUMIFS(Drivers!$62:$62,Drivers!$3:$3,Financials!AH$3)</f>
        <v>0</v>
      </c>
      <c r="AI179" s="46">
        <f ca="1">+SUMIFS(Drivers!$62:$62,Drivers!$3:$3,Financials!AI$3)</f>
        <v>0</v>
      </c>
      <c r="AJ179" s="46">
        <f ca="1">+SUMIFS(Drivers!$62:$62,Drivers!$3:$3,Financials!AJ$3)</f>
        <v>0</v>
      </c>
      <c r="AK179" s="46">
        <f ca="1">+SUMIFS(Drivers!$62:$62,Drivers!$3:$3,Financials!AK$3)</f>
        <v>0</v>
      </c>
      <c r="AL179" s="46">
        <f ca="1">+SUMIFS(Drivers!$62:$62,Drivers!$3:$3,Financials!AL$3)</f>
        <v>0</v>
      </c>
      <c r="AM179" s="46">
        <f ca="1">+SUMIFS(Drivers!$62:$62,Drivers!$3:$3,Financials!AM$3)</f>
        <v>0</v>
      </c>
      <c r="AN179" s="46">
        <f ca="1">+SUMIFS(Drivers!$62:$62,Drivers!$3:$3,Financials!AN$3)</f>
        <v>0</v>
      </c>
      <c r="AO179" s="46">
        <f ca="1">+SUMIFS(Drivers!$62:$62,Drivers!$3:$3,Financials!AO$3)</f>
        <v>0</v>
      </c>
      <c r="AP179" s="46">
        <f ca="1">+SUMIFS(Drivers!$62:$62,Drivers!$3:$3,Financials!AP$3)</f>
        <v>0</v>
      </c>
      <c r="AQ179" s="46">
        <f ca="1">+SUMIFS(Drivers!$62:$62,Drivers!$3:$3,Financials!AQ$3)</f>
        <v>0</v>
      </c>
      <c r="AR179" s="46">
        <f ca="1">+SUMIFS(Drivers!$62:$62,Drivers!$3:$3,Financials!AR$3)</f>
        <v>0</v>
      </c>
      <c r="AS179" s="46">
        <f ca="1">+SUMIFS(Drivers!$62:$62,Drivers!$3:$3,Financials!AS$3)</f>
        <v>0</v>
      </c>
      <c r="AT179" s="46">
        <f ca="1">+SUMIFS(Drivers!$62:$62,Drivers!$3:$3,Financials!AT$3)</f>
        <v>0</v>
      </c>
      <c r="AU179" s="46">
        <f ca="1">+SUMIFS(Drivers!$62:$62,Drivers!$3:$3,Financials!AU$3)</f>
        <v>0</v>
      </c>
      <c r="AV179" s="46">
        <f ca="1">+SUMIFS(Drivers!$62:$62,Drivers!$3:$3,Financials!AV$3)</f>
        <v>0</v>
      </c>
      <c r="AW179" s="46">
        <f ca="1">+SUMIFS(Drivers!$62:$62,Drivers!$3:$3,Financials!AW$3)</f>
        <v>0</v>
      </c>
      <c r="AX179" s="46">
        <f ca="1">+SUMIFS(Drivers!$62:$62,Drivers!$3:$3,Financials!AX$3)</f>
        <v>0</v>
      </c>
      <c r="AY179" s="46">
        <f ca="1">+SUMIFS(Drivers!$62:$62,Drivers!$3:$3,Financials!AY$3)</f>
        <v>0</v>
      </c>
      <c r="AZ179" s="46">
        <f ca="1">+SUMIFS(Drivers!$62:$62,Drivers!$3:$3,Financials!AZ$3)</f>
        <v>0</v>
      </c>
      <c r="BA179" s="46">
        <f ca="1">+SUMIFS(Drivers!$62:$62,Drivers!$3:$3,Financials!BA$3)</f>
        <v>0</v>
      </c>
      <c r="BB179" s="8" t="s">
        <v>75</v>
      </c>
    </row>
    <row r="180" spans="2:54" x14ac:dyDescent="0.2">
      <c r="BB180" s="8" t="s">
        <v>75</v>
      </c>
    </row>
    <row r="181" spans="2:54" x14ac:dyDescent="0.2">
      <c r="B181" s="1" t="s">
        <v>340</v>
      </c>
      <c r="C181" s="45" t="s">
        <v>338</v>
      </c>
      <c r="D181" s="168">
        <f ca="1">+Ctrl!$G$17</f>
        <v>0.125</v>
      </c>
      <c r="G181" s="92">
        <f t="shared" ref="G181:N181" si="127">+SUMIFS(181:181,$3:$3,"4Q"&amp;RIGHT(G$3,2))</f>
        <v>0</v>
      </c>
      <c r="H181" s="92">
        <f t="shared" si="127"/>
        <v>0</v>
      </c>
      <c r="I181" s="92">
        <f t="shared" ca="1" si="127"/>
        <v>6.6131625366210942</v>
      </c>
      <c r="J181" s="92">
        <f t="shared" ca="1" si="127"/>
        <v>7.4793704305574655</v>
      </c>
      <c r="K181" s="92">
        <f t="shared" ca="1" si="127"/>
        <v>8.4590363124629402</v>
      </c>
      <c r="L181" s="92">
        <f t="shared" ca="1" si="127"/>
        <v>9.5670211817859308</v>
      </c>
      <c r="M181" s="92">
        <f t="shared" ca="1" si="127"/>
        <v>10.820132567333939</v>
      </c>
      <c r="N181" s="92">
        <f t="shared" ca="1" si="127"/>
        <v>12.237379488358719</v>
      </c>
      <c r="AC181" s="167"/>
      <c r="AD181" s="167">
        <v>6.03</v>
      </c>
      <c r="AE181" s="92">
        <f t="shared" ref="AE181:BA181" ca="1" si="128">+AD181*(1+$D181/4)</f>
        <v>6.2184375000000003</v>
      </c>
      <c r="AF181" s="92">
        <f t="shared" ca="1" si="128"/>
        <v>6.4127636718750001</v>
      </c>
      <c r="AG181" s="92">
        <f t="shared" ca="1" si="128"/>
        <v>6.6131625366210942</v>
      </c>
      <c r="AH181" s="92">
        <f t="shared" ca="1" si="128"/>
        <v>6.8198238658905037</v>
      </c>
      <c r="AI181" s="92">
        <f t="shared" ca="1" si="128"/>
        <v>7.0329433616995818</v>
      </c>
      <c r="AJ181" s="92">
        <f t="shared" ca="1" si="128"/>
        <v>7.2527228417526937</v>
      </c>
      <c r="AK181" s="92">
        <f t="shared" ca="1" si="128"/>
        <v>7.4793704305574655</v>
      </c>
      <c r="AL181" s="92">
        <f t="shared" ca="1" si="128"/>
        <v>7.7131007565123859</v>
      </c>
      <c r="AM181" s="92">
        <f t="shared" ca="1" si="128"/>
        <v>7.9541351551533976</v>
      </c>
      <c r="AN181" s="92">
        <f t="shared" ca="1" si="128"/>
        <v>8.2027018787519417</v>
      </c>
      <c r="AO181" s="92">
        <f t="shared" ca="1" si="128"/>
        <v>8.4590363124629402</v>
      </c>
      <c r="AP181" s="92">
        <f t="shared" ca="1" si="128"/>
        <v>8.7233811972274076</v>
      </c>
      <c r="AQ181" s="92">
        <f t="shared" ca="1" si="128"/>
        <v>8.9959868596407642</v>
      </c>
      <c r="AR181" s="92">
        <f t="shared" ca="1" si="128"/>
        <v>9.2771114490045381</v>
      </c>
      <c r="AS181" s="92">
        <f t="shared" ca="1" si="128"/>
        <v>9.5670211817859308</v>
      </c>
      <c r="AT181" s="92">
        <f t="shared" ca="1" si="128"/>
        <v>9.8659905937167416</v>
      </c>
      <c r="AU181" s="92">
        <f t="shared" ca="1" si="128"/>
        <v>10.174302799770389</v>
      </c>
      <c r="AV181" s="92">
        <f t="shared" ca="1" si="128"/>
        <v>10.492249762263214</v>
      </c>
      <c r="AW181" s="92">
        <f t="shared" ca="1" si="128"/>
        <v>10.820132567333939</v>
      </c>
      <c r="AX181" s="92">
        <f t="shared" ca="1" si="128"/>
        <v>11.158261710063124</v>
      </c>
      <c r="AY181" s="92">
        <f t="shared" ca="1" si="128"/>
        <v>11.506957388502597</v>
      </c>
      <c r="AZ181" s="92">
        <f t="shared" ca="1" si="128"/>
        <v>11.866549806893303</v>
      </c>
      <c r="BA181" s="92">
        <f t="shared" ca="1" si="128"/>
        <v>12.237379488358719</v>
      </c>
      <c r="BB181" s="8" t="s">
        <v>75</v>
      </c>
    </row>
    <row r="182" spans="2:54" x14ac:dyDescent="0.2">
      <c r="BB182" s="8" t="s">
        <v>75</v>
      </c>
    </row>
    <row r="183" spans="2:54" x14ac:dyDescent="0.2">
      <c r="B183" s="1" t="s">
        <v>342</v>
      </c>
      <c r="C183" s="45" t="s">
        <v>338</v>
      </c>
      <c r="G183" s="171">
        <f t="shared" ref="G183:N183" si="129">+SUMIFS(183:183,$6:$6,G$3)</f>
        <v>0</v>
      </c>
      <c r="H183" s="171">
        <f t="shared" si="129"/>
        <v>0</v>
      </c>
      <c r="I183" s="171">
        <f t="shared" ca="1" si="129"/>
        <v>0</v>
      </c>
      <c r="J183" s="171">
        <f t="shared" ca="1" si="129"/>
        <v>0.30000000000000004</v>
      </c>
      <c r="K183" s="171">
        <f t="shared" ca="1" si="129"/>
        <v>0.55000000000000004</v>
      </c>
      <c r="L183" s="171">
        <f t="shared" ca="1" si="129"/>
        <v>0.75</v>
      </c>
      <c r="M183" s="171">
        <f t="shared" ca="1" si="129"/>
        <v>0.875</v>
      </c>
      <c r="N183" s="171">
        <f t="shared" ca="1" si="129"/>
        <v>0.97499999999999998</v>
      </c>
      <c r="AD183" s="170">
        <v>0</v>
      </c>
      <c r="AE183" s="171">
        <f ca="1">+AD183+AE185</f>
        <v>0</v>
      </c>
      <c r="AF183" s="171">
        <f t="shared" ref="AF183:BA183" ca="1" si="130">+AE183+AF185</f>
        <v>0</v>
      </c>
      <c r="AG183" s="171">
        <f t="shared" ca="1" si="130"/>
        <v>0</v>
      </c>
      <c r="AH183" s="171">
        <f t="shared" ca="1" si="130"/>
        <v>0</v>
      </c>
      <c r="AI183" s="171">
        <f t="shared" ca="1" si="130"/>
        <v>0.1</v>
      </c>
      <c r="AJ183" s="171">
        <f t="shared" ca="1" si="130"/>
        <v>0.1</v>
      </c>
      <c r="AK183" s="171">
        <f t="shared" ca="1" si="130"/>
        <v>0.1</v>
      </c>
      <c r="AL183" s="171">
        <f t="shared" ca="1" si="130"/>
        <v>0.1</v>
      </c>
      <c r="AM183" s="171">
        <f t="shared" ca="1" si="130"/>
        <v>0.15000000000000002</v>
      </c>
      <c r="AN183" s="171">
        <f t="shared" ca="1" si="130"/>
        <v>0.15000000000000002</v>
      </c>
      <c r="AO183" s="171">
        <f t="shared" ca="1" si="130"/>
        <v>0.15000000000000002</v>
      </c>
      <c r="AP183" s="171">
        <f t="shared" ca="1" si="130"/>
        <v>0.15000000000000002</v>
      </c>
      <c r="AQ183" s="171">
        <f t="shared" ca="1" si="130"/>
        <v>0.2</v>
      </c>
      <c r="AR183" s="171">
        <f t="shared" ca="1" si="130"/>
        <v>0.2</v>
      </c>
      <c r="AS183" s="171">
        <f t="shared" ca="1" si="130"/>
        <v>0.2</v>
      </c>
      <c r="AT183" s="171">
        <f t="shared" ca="1" si="130"/>
        <v>0.2</v>
      </c>
      <c r="AU183" s="171">
        <f t="shared" ca="1" si="130"/>
        <v>0.22500000000000001</v>
      </c>
      <c r="AV183" s="171">
        <f t="shared" ca="1" si="130"/>
        <v>0.22500000000000001</v>
      </c>
      <c r="AW183" s="171">
        <f t="shared" ca="1" si="130"/>
        <v>0.22500000000000001</v>
      </c>
      <c r="AX183" s="171">
        <f t="shared" ca="1" si="130"/>
        <v>0.22500000000000001</v>
      </c>
      <c r="AY183" s="171">
        <f t="shared" ca="1" si="130"/>
        <v>0.25</v>
      </c>
      <c r="AZ183" s="171">
        <f t="shared" ca="1" si="130"/>
        <v>0.25</v>
      </c>
      <c r="BA183" s="171">
        <f t="shared" ca="1" si="130"/>
        <v>0.25</v>
      </c>
      <c r="BB183" s="102" t="s">
        <v>75</v>
      </c>
    </row>
    <row r="184" spans="2:54" x14ac:dyDescent="0.2">
      <c r="B184" s="1" t="s">
        <v>442</v>
      </c>
      <c r="C184" s="45" t="s">
        <v>338</v>
      </c>
      <c r="G184" s="171">
        <f t="shared" ref="G184:N184" si="131">+SUMIFS(184:184,$3:$3,"4Q"&amp;RIGHT(G$3,2))</f>
        <v>0</v>
      </c>
      <c r="H184" s="171">
        <f t="shared" si="131"/>
        <v>0</v>
      </c>
      <c r="I184" s="171">
        <f t="shared" ca="1" si="131"/>
        <v>0</v>
      </c>
      <c r="J184" s="171">
        <f t="shared" ca="1" si="131"/>
        <v>0.4</v>
      </c>
      <c r="K184" s="171">
        <f t="shared" ca="1" si="131"/>
        <v>0.60000000000000009</v>
      </c>
      <c r="L184" s="171">
        <f t="shared" ca="1" si="131"/>
        <v>0.8</v>
      </c>
      <c r="M184" s="171">
        <f t="shared" ca="1" si="131"/>
        <v>0.9</v>
      </c>
      <c r="N184" s="171">
        <f t="shared" ca="1" si="131"/>
        <v>1</v>
      </c>
      <c r="AD184" s="171">
        <f>+AD183*4</f>
        <v>0</v>
      </c>
      <c r="AE184" s="171">
        <f t="shared" ref="AE184:BA184" ca="1" si="132">+AE183*4</f>
        <v>0</v>
      </c>
      <c r="AF184" s="171">
        <f t="shared" ca="1" si="132"/>
        <v>0</v>
      </c>
      <c r="AG184" s="171">
        <f t="shared" ca="1" si="132"/>
        <v>0</v>
      </c>
      <c r="AH184" s="171">
        <f t="shared" ca="1" si="132"/>
        <v>0</v>
      </c>
      <c r="AI184" s="171">
        <f t="shared" ca="1" si="132"/>
        <v>0.4</v>
      </c>
      <c r="AJ184" s="171">
        <f t="shared" ca="1" si="132"/>
        <v>0.4</v>
      </c>
      <c r="AK184" s="171">
        <f t="shared" ca="1" si="132"/>
        <v>0.4</v>
      </c>
      <c r="AL184" s="171">
        <f t="shared" ca="1" si="132"/>
        <v>0.4</v>
      </c>
      <c r="AM184" s="171">
        <f t="shared" ca="1" si="132"/>
        <v>0.60000000000000009</v>
      </c>
      <c r="AN184" s="171">
        <f t="shared" ca="1" si="132"/>
        <v>0.60000000000000009</v>
      </c>
      <c r="AO184" s="171">
        <f t="shared" ca="1" si="132"/>
        <v>0.60000000000000009</v>
      </c>
      <c r="AP184" s="171">
        <f t="shared" ca="1" si="132"/>
        <v>0.60000000000000009</v>
      </c>
      <c r="AQ184" s="171">
        <f t="shared" ca="1" si="132"/>
        <v>0.8</v>
      </c>
      <c r="AR184" s="171">
        <f t="shared" ca="1" si="132"/>
        <v>0.8</v>
      </c>
      <c r="AS184" s="171">
        <f t="shared" ca="1" si="132"/>
        <v>0.8</v>
      </c>
      <c r="AT184" s="171">
        <f t="shared" ca="1" si="132"/>
        <v>0.8</v>
      </c>
      <c r="AU184" s="171">
        <f t="shared" ca="1" si="132"/>
        <v>0.9</v>
      </c>
      <c r="AV184" s="171">
        <f t="shared" ca="1" si="132"/>
        <v>0.9</v>
      </c>
      <c r="AW184" s="171">
        <f t="shared" ca="1" si="132"/>
        <v>0.9</v>
      </c>
      <c r="AX184" s="171">
        <f t="shared" ca="1" si="132"/>
        <v>0.9</v>
      </c>
      <c r="AY184" s="171">
        <f t="shared" ca="1" si="132"/>
        <v>1</v>
      </c>
      <c r="AZ184" s="171">
        <f t="shared" ca="1" si="132"/>
        <v>1</v>
      </c>
      <c r="BA184" s="171">
        <f t="shared" ca="1" si="132"/>
        <v>1</v>
      </c>
      <c r="BB184" s="102" t="s">
        <v>75</v>
      </c>
    </row>
    <row r="185" spans="2:54" s="25" customFormat="1" x14ac:dyDescent="0.2">
      <c r="B185" s="19" t="s">
        <v>343</v>
      </c>
      <c r="C185" s="45" t="s">
        <v>338</v>
      </c>
      <c r="G185" s="171">
        <f t="shared" ref="G185:N185" si="133">+SUMIFS(185:185,$6:$6,G$3)</f>
        <v>0</v>
      </c>
      <c r="H185" s="171">
        <f t="shared" si="133"/>
        <v>0</v>
      </c>
      <c r="I185" s="171">
        <f t="shared" ca="1" si="133"/>
        <v>0</v>
      </c>
      <c r="J185" s="171">
        <f t="shared" ca="1" si="133"/>
        <v>0.1</v>
      </c>
      <c r="K185" s="171">
        <f t="shared" ca="1" si="133"/>
        <v>0.05</v>
      </c>
      <c r="L185" s="171">
        <f t="shared" ca="1" si="133"/>
        <v>0.05</v>
      </c>
      <c r="M185" s="171">
        <f t="shared" ca="1" si="133"/>
        <v>2.5000000000000001E-2</v>
      </c>
      <c r="N185" s="171">
        <f t="shared" ca="1" si="133"/>
        <v>2.5000000000000001E-2</v>
      </c>
      <c r="AD185" s="247">
        <f ca="1">+SUMIFS(Drivers!$59:$59,Drivers!$3:$3,Financials!AD$3)</f>
        <v>0</v>
      </c>
      <c r="AE185" s="247">
        <f ca="1">+SUMIFS(Drivers!$59:$59,Drivers!$3:$3,Financials!AE$3)</f>
        <v>0</v>
      </c>
      <c r="AF185" s="247">
        <f ca="1">+SUMIFS(Drivers!$59:$59,Drivers!$3:$3,Financials!AF$3)</f>
        <v>0</v>
      </c>
      <c r="AG185" s="247">
        <f ca="1">+SUMIFS(Drivers!$59:$59,Drivers!$3:$3,Financials!AG$3)</f>
        <v>0</v>
      </c>
      <c r="AH185" s="247">
        <f ca="1">+SUMIFS(Drivers!$59:$59,Drivers!$3:$3,Financials!AH$3)</f>
        <v>0</v>
      </c>
      <c r="AI185" s="247">
        <f ca="1">+SUMIFS(Drivers!$59:$59,Drivers!$3:$3,Financials!AI$3)</f>
        <v>0.1</v>
      </c>
      <c r="AJ185" s="247">
        <f ca="1">+SUMIFS(Drivers!$59:$59,Drivers!$3:$3,Financials!AJ$3)</f>
        <v>0</v>
      </c>
      <c r="AK185" s="247">
        <f ca="1">+SUMIFS(Drivers!$59:$59,Drivers!$3:$3,Financials!AK$3)</f>
        <v>0</v>
      </c>
      <c r="AL185" s="247">
        <f ca="1">+SUMIFS(Drivers!$59:$59,Drivers!$3:$3,Financials!AL$3)</f>
        <v>0</v>
      </c>
      <c r="AM185" s="247">
        <f ca="1">+SUMIFS(Drivers!$59:$59,Drivers!$3:$3,Financials!AM$3)</f>
        <v>0.05</v>
      </c>
      <c r="AN185" s="247">
        <f ca="1">+SUMIFS(Drivers!$59:$59,Drivers!$3:$3,Financials!AN$3)</f>
        <v>0</v>
      </c>
      <c r="AO185" s="247">
        <f ca="1">+SUMIFS(Drivers!$59:$59,Drivers!$3:$3,Financials!AO$3)</f>
        <v>0</v>
      </c>
      <c r="AP185" s="247">
        <f ca="1">+SUMIFS(Drivers!$59:$59,Drivers!$3:$3,Financials!AP$3)</f>
        <v>0</v>
      </c>
      <c r="AQ185" s="247">
        <f ca="1">+SUMIFS(Drivers!$59:$59,Drivers!$3:$3,Financials!AQ$3)</f>
        <v>0.05</v>
      </c>
      <c r="AR185" s="247">
        <f ca="1">+SUMIFS(Drivers!$59:$59,Drivers!$3:$3,Financials!AR$3)</f>
        <v>0</v>
      </c>
      <c r="AS185" s="247">
        <f ca="1">+SUMIFS(Drivers!$59:$59,Drivers!$3:$3,Financials!AS$3)</f>
        <v>0</v>
      </c>
      <c r="AT185" s="247">
        <f ca="1">+SUMIFS(Drivers!$59:$59,Drivers!$3:$3,Financials!AT$3)</f>
        <v>0</v>
      </c>
      <c r="AU185" s="247">
        <f ca="1">+SUMIFS(Drivers!$59:$59,Drivers!$3:$3,Financials!AU$3)</f>
        <v>2.5000000000000001E-2</v>
      </c>
      <c r="AV185" s="247">
        <f ca="1">+SUMIFS(Drivers!$59:$59,Drivers!$3:$3,Financials!AV$3)</f>
        <v>0</v>
      </c>
      <c r="AW185" s="247">
        <f ca="1">+SUMIFS(Drivers!$59:$59,Drivers!$3:$3,Financials!AW$3)</f>
        <v>0</v>
      </c>
      <c r="AX185" s="247">
        <f ca="1">+SUMIFS(Drivers!$59:$59,Drivers!$3:$3,Financials!AX$3)</f>
        <v>0</v>
      </c>
      <c r="AY185" s="247">
        <f ca="1">+SUMIFS(Drivers!$59:$59,Drivers!$3:$3,Financials!AY$3)</f>
        <v>2.5000000000000001E-2</v>
      </c>
      <c r="AZ185" s="247">
        <f ca="1">+SUMIFS(Drivers!$59:$59,Drivers!$3:$3,Financials!AZ$3)</f>
        <v>0</v>
      </c>
      <c r="BA185" s="247">
        <f ca="1">+SUMIFS(Drivers!$59:$59,Drivers!$3:$3,Financials!BA$3)</f>
        <v>0</v>
      </c>
      <c r="BB185" s="102" t="s">
        <v>75</v>
      </c>
    </row>
    <row r="186" spans="2:54" s="25" customFormat="1" x14ac:dyDescent="0.2">
      <c r="B186" s="19"/>
      <c r="C186" s="45"/>
      <c r="AD186" s="170"/>
      <c r="AE186" s="170"/>
      <c r="AF186" s="170"/>
      <c r="AG186" s="170"/>
      <c r="AH186" s="170"/>
      <c r="AI186" s="170"/>
      <c r="AJ186" s="170"/>
      <c r="AK186" s="170"/>
      <c r="AL186" s="170"/>
      <c r="AM186" s="170"/>
      <c r="AN186" s="170"/>
      <c r="AO186" s="170"/>
      <c r="AP186" s="170"/>
      <c r="AQ186" s="170"/>
      <c r="AR186" s="170"/>
      <c r="AS186" s="170"/>
      <c r="AT186" s="170"/>
      <c r="AU186" s="170"/>
      <c r="AV186" s="170"/>
      <c r="AW186" s="170"/>
      <c r="AX186" s="170"/>
      <c r="AY186" s="170"/>
      <c r="AZ186" s="170"/>
      <c r="BA186" s="170"/>
      <c r="BB186" s="102" t="s">
        <v>75</v>
      </c>
    </row>
    <row r="187" spans="2:54" s="25" customFormat="1" x14ac:dyDescent="0.2">
      <c r="B187" s="22" t="s">
        <v>347</v>
      </c>
      <c r="C187" s="45"/>
      <c r="G187" s="31">
        <f t="shared" ref="G187:N187" ca="1" si="134">+G183/SharePrice</f>
        <v>0</v>
      </c>
      <c r="H187" s="31">
        <f t="shared" ca="1" si="134"/>
        <v>0</v>
      </c>
      <c r="I187" s="31">
        <f t="shared" ca="1" si="134"/>
        <v>0</v>
      </c>
      <c r="J187" s="31">
        <f t="shared" ca="1" si="134"/>
        <v>5.000000000000001E-2</v>
      </c>
      <c r="K187" s="31">
        <f t="shared" ca="1" si="134"/>
        <v>9.1666666666666674E-2</v>
      </c>
      <c r="L187" s="31">
        <f t="shared" ca="1" si="134"/>
        <v>0.125</v>
      </c>
      <c r="M187" s="31">
        <f t="shared" ca="1" si="134"/>
        <v>0.14583333333333334</v>
      </c>
      <c r="N187" s="31">
        <f t="shared" ca="1" si="134"/>
        <v>0.16250000000000001</v>
      </c>
      <c r="AD187" s="31">
        <f t="shared" ref="AD187:BA187" ca="1" si="135">+AD183*4/SharePrice</f>
        <v>0</v>
      </c>
      <c r="AE187" s="31">
        <f t="shared" ca="1" si="135"/>
        <v>0</v>
      </c>
      <c r="AF187" s="31">
        <f t="shared" ca="1" si="135"/>
        <v>0</v>
      </c>
      <c r="AG187" s="31">
        <f t="shared" ca="1" si="135"/>
        <v>0</v>
      </c>
      <c r="AH187" s="31">
        <f t="shared" ca="1" si="135"/>
        <v>0</v>
      </c>
      <c r="AI187" s="31">
        <f t="shared" ca="1" si="135"/>
        <v>6.6666666666666666E-2</v>
      </c>
      <c r="AJ187" s="31">
        <f t="shared" ca="1" si="135"/>
        <v>6.6666666666666666E-2</v>
      </c>
      <c r="AK187" s="31">
        <f t="shared" ca="1" si="135"/>
        <v>6.6666666666666666E-2</v>
      </c>
      <c r="AL187" s="31">
        <f t="shared" ca="1" si="135"/>
        <v>6.6666666666666666E-2</v>
      </c>
      <c r="AM187" s="31">
        <f t="shared" ca="1" si="135"/>
        <v>0.10000000000000002</v>
      </c>
      <c r="AN187" s="31">
        <f t="shared" ca="1" si="135"/>
        <v>0.10000000000000002</v>
      </c>
      <c r="AO187" s="31">
        <f t="shared" ca="1" si="135"/>
        <v>0.10000000000000002</v>
      </c>
      <c r="AP187" s="31">
        <f t="shared" ca="1" si="135"/>
        <v>0.10000000000000002</v>
      </c>
      <c r="AQ187" s="31">
        <f t="shared" ca="1" si="135"/>
        <v>0.13333333333333333</v>
      </c>
      <c r="AR187" s="31">
        <f t="shared" ca="1" si="135"/>
        <v>0.13333333333333333</v>
      </c>
      <c r="AS187" s="31">
        <f t="shared" ca="1" si="135"/>
        <v>0.13333333333333333</v>
      </c>
      <c r="AT187" s="31">
        <f t="shared" ca="1" si="135"/>
        <v>0.13333333333333333</v>
      </c>
      <c r="AU187" s="31">
        <f t="shared" ca="1" si="135"/>
        <v>0.15</v>
      </c>
      <c r="AV187" s="31">
        <f t="shared" ca="1" si="135"/>
        <v>0.15</v>
      </c>
      <c r="AW187" s="31">
        <f t="shared" ca="1" si="135"/>
        <v>0.15</v>
      </c>
      <c r="AX187" s="31">
        <f t="shared" ca="1" si="135"/>
        <v>0.15</v>
      </c>
      <c r="AY187" s="31">
        <f t="shared" ca="1" si="135"/>
        <v>0.16666666666666666</v>
      </c>
      <c r="AZ187" s="31">
        <f t="shared" ca="1" si="135"/>
        <v>0.16666666666666666</v>
      </c>
      <c r="BA187" s="31">
        <f t="shared" ca="1" si="135"/>
        <v>0.16666666666666666</v>
      </c>
      <c r="BB187" s="102" t="s">
        <v>75</v>
      </c>
    </row>
    <row r="188" spans="2:54" x14ac:dyDescent="0.2">
      <c r="B188" s="1" t="s">
        <v>348</v>
      </c>
      <c r="C188" s="45" t="s">
        <v>199</v>
      </c>
      <c r="G188" s="172" t="str">
        <f t="shared" ref="G188:N188" si="136">+IFERROR(G72/G190,"NM")</f>
        <v>NM</v>
      </c>
      <c r="H188" s="172" t="str">
        <f t="shared" si="136"/>
        <v>NM</v>
      </c>
      <c r="I188" s="172" t="str">
        <f t="shared" ca="1" si="136"/>
        <v>NM</v>
      </c>
      <c r="J188" s="172">
        <f t="shared" ca="1" si="136"/>
        <v>2.7111701628006366</v>
      </c>
      <c r="K188" s="172">
        <f t="shared" ca="1" si="136"/>
        <v>1.6004873739033774</v>
      </c>
      <c r="L188" s="172">
        <f t="shared" ca="1" si="136"/>
        <v>1.3342760200440391</v>
      </c>
      <c r="M188" s="172">
        <f t="shared" ca="1" si="136"/>
        <v>1.2726065835341644</v>
      </c>
      <c r="N188" s="172">
        <f t="shared" ca="1" si="136"/>
        <v>1.2652646997317496</v>
      </c>
      <c r="AD188" s="172" t="str">
        <f t="shared" ref="AD188:BA188" ca="1" si="137">+IFERROR(AD72/AD190,"NM")</f>
        <v>NM</v>
      </c>
      <c r="AE188" s="172" t="str">
        <f t="shared" ca="1" si="137"/>
        <v>NM</v>
      </c>
      <c r="AF188" s="172" t="str">
        <f t="shared" ca="1" si="137"/>
        <v>NM</v>
      </c>
      <c r="AG188" s="172" t="str">
        <f t="shared" ca="1" si="137"/>
        <v>NM</v>
      </c>
      <c r="AH188" s="172" t="str">
        <f t="shared" ca="1" si="137"/>
        <v>NM</v>
      </c>
      <c r="AI188" s="172">
        <f t="shared" ca="1" si="137"/>
        <v>2.4331307186140636</v>
      </c>
      <c r="AJ188" s="172">
        <f t="shared" ca="1" si="137"/>
        <v>2.6320699575219924</v>
      </c>
      <c r="AK188" s="172">
        <f t="shared" ca="1" si="137"/>
        <v>1.6695593169084659</v>
      </c>
      <c r="AL188" s="172">
        <f t="shared" ca="1" si="137"/>
        <v>1.5193546408235472</v>
      </c>
      <c r="AM188" s="172">
        <f t="shared" ca="1" si="137"/>
        <v>1.7729875819378977</v>
      </c>
      <c r="AN188" s="172">
        <f t="shared" ca="1" si="137"/>
        <v>1.8982049837790649</v>
      </c>
      <c r="AO188" s="172">
        <f t="shared" ca="1" si="137"/>
        <v>1.1843580447130568</v>
      </c>
      <c r="AP188" s="172">
        <f t="shared" ca="1" si="137"/>
        <v>1.1611128822668413</v>
      </c>
      <c r="AQ188" s="172">
        <f t="shared" ca="1" si="137"/>
        <v>1.5030315967129739</v>
      </c>
      <c r="AR188" s="172">
        <f t="shared" ca="1" si="137"/>
        <v>1.6130579115212553</v>
      </c>
      <c r="AS188" s="172">
        <f t="shared" ca="1" si="137"/>
        <v>1.0166109052307861</v>
      </c>
      <c r="AT188" s="172">
        <f t="shared" ca="1" si="137"/>
        <v>0.95976776427279797</v>
      </c>
      <c r="AU188" s="172">
        <f t="shared" ca="1" si="137"/>
        <v>1.492429325306323</v>
      </c>
      <c r="AV188" s="172">
        <f t="shared" ca="1" si="137"/>
        <v>1.5986539536939737</v>
      </c>
      <c r="AW188" s="172">
        <f t="shared" ca="1" si="137"/>
        <v>1.0048154220567442</v>
      </c>
      <c r="AX188" s="172">
        <f t="shared" ca="1" si="137"/>
        <v>0.94382467409774018</v>
      </c>
      <c r="AY188" s="172">
        <f t="shared" ca="1" si="137"/>
        <v>1.4875643721836784</v>
      </c>
      <c r="AZ188" s="172">
        <f t="shared" ca="1" si="137"/>
        <v>1.5964797364194003</v>
      </c>
      <c r="BA188" s="172">
        <f t="shared" ca="1" si="137"/>
        <v>1.0010460136627792</v>
      </c>
      <c r="BB188" s="102" t="s">
        <v>75</v>
      </c>
    </row>
    <row r="189" spans="2:54" x14ac:dyDescent="0.2">
      <c r="BB189" s="102" t="s">
        <v>75</v>
      </c>
    </row>
    <row r="190" spans="2:54" x14ac:dyDescent="0.2">
      <c r="B190" s="1" t="s">
        <v>344</v>
      </c>
      <c r="C190" s="45" t="s">
        <v>187</v>
      </c>
      <c r="G190" s="23">
        <f t="shared" ref="G190:N191" si="138">+SUMIFS(190:190,$6:$6,G$3)</f>
        <v>0</v>
      </c>
      <c r="H190" s="23">
        <f t="shared" si="138"/>
        <v>0</v>
      </c>
      <c r="I190" s="23">
        <f t="shared" ca="1" si="138"/>
        <v>0</v>
      </c>
      <c r="J190" s="23">
        <f t="shared" ca="1" si="138"/>
        <v>224.58319950000003</v>
      </c>
      <c r="K190" s="23">
        <f t="shared" ca="1" si="138"/>
        <v>411.73586575000013</v>
      </c>
      <c r="L190" s="23">
        <f t="shared" ca="1" si="138"/>
        <v>561.45799875</v>
      </c>
      <c r="M190" s="23">
        <f t="shared" ca="1" si="138"/>
        <v>655.03433187500002</v>
      </c>
      <c r="N190" s="23">
        <f t="shared" ca="1" si="138"/>
        <v>729.89539837500013</v>
      </c>
      <c r="AD190" s="23">
        <f t="shared" ref="AD190:BA190" si="139">+AD183*AD177/1000</f>
        <v>0</v>
      </c>
      <c r="AE190" s="23">
        <f t="shared" ca="1" si="139"/>
        <v>0</v>
      </c>
      <c r="AF190" s="23">
        <f t="shared" ca="1" si="139"/>
        <v>0</v>
      </c>
      <c r="AG190" s="23">
        <f t="shared" ca="1" si="139"/>
        <v>0</v>
      </c>
      <c r="AH190" s="23">
        <f t="shared" ca="1" si="139"/>
        <v>0</v>
      </c>
      <c r="AI190" s="23">
        <f t="shared" ca="1" si="139"/>
        <v>74.861066500000007</v>
      </c>
      <c r="AJ190" s="23">
        <f t="shared" ca="1" si="139"/>
        <v>74.861066500000007</v>
      </c>
      <c r="AK190" s="23">
        <f t="shared" ca="1" si="139"/>
        <v>74.861066500000007</v>
      </c>
      <c r="AL190" s="23">
        <f t="shared" ca="1" si="139"/>
        <v>74.861066500000007</v>
      </c>
      <c r="AM190" s="23">
        <f t="shared" ca="1" si="139"/>
        <v>112.29159975000002</v>
      </c>
      <c r="AN190" s="23">
        <f t="shared" ca="1" si="139"/>
        <v>112.29159975000002</v>
      </c>
      <c r="AO190" s="23">
        <f t="shared" ca="1" si="139"/>
        <v>112.29159975000002</v>
      </c>
      <c r="AP190" s="23">
        <f t="shared" ca="1" si="139"/>
        <v>112.29159975000002</v>
      </c>
      <c r="AQ190" s="23">
        <f t="shared" ca="1" si="139"/>
        <v>149.72213300000001</v>
      </c>
      <c r="AR190" s="23">
        <f t="shared" ca="1" si="139"/>
        <v>149.72213300000001</v>
      </c>
      <c r="AS190" s="23">
        <f t="shared" ca="1" si="139"/>
        <v>149.72213300000001</v>
      </c>
      <c r="AT190" s="23">
        <f t="shared" ca="1" si="139"/>
        <v>149.72213300000001</v>
      </c>
      <c r="AU190" s="23">
        <f t="shared" ca="1" si="139"/>
        <v>168.43739962500001</v>
      </c>
      <c r="AV190" s="23">
        <f t="shared" ca="1" si="139"/>
        <v>168.43739962500001</v>
      </c>
      <c r="AW190" s="23">
        <f t="shared" ca="1" si="139"/>
        <v>168.43739962500001</v>
      </c>
      <c r="AX190" s="23">
        <f t="shared" ca="1" si="139"/>
        <v>168.43739962500001</v>
      </c>
      <c r="AY190" s="23">
        <f t="shared" ca="1" si="139"/>
        <v>187.15266625000001</v>
      </c>
      <c r="AZ190" s="23">
        <f t="shared" ca="1" si="139"/>
        <v>187.15266625000001</v>
      </c>
      <c r="BA190" s="23">
        <f t="shared" ca="1" si="139"/>
        <v>187.15266625000001</v>
      </c>
      <c r="BB190" s="102" t="s">
        <v>75</v>
      </c>
    </row>
    <row r="191" spans="2:54" x14ac:dyDescent="0.2">
      <c r="B191" s="1" t="s">
        <v>345</v>
      </c>
      <c r="C191" s="45" t="s">
        <v>187</v>
      </c>
      <c r="G191" s="23">
        <f t="shared" si="138"/>
        <v>0</v>
      </c>
      <c r="H191" s="23">
        <f t="shared" si="138"/>
        <v>0</v>
      </c>
      <c r="I191" s="23">
        <f t="shared" ca="1" si="138"/>
        <v>0</v>
      </c>
      <c r="J191" s="23">
        <f t="shared" ca="1" si="138"/>
        <v>149.72213300000001</v>
      </c>
      <c r="K191" s="23">
        <f t="shared" ca="1" si="138"/>
        <v>374.30533250000008</v>
      </c>
      <c r="L191" s="23">
        <f t="shared" ca="1" si="138"/>
        <v>524.02746550000006</v>
      </c>
      <c r="M191" s="23">
        <f t="shared" ca="1" si="138"/>
        <v>636.31906524999999</v>
      </c>
      <c r="N191" s="23">
        <f t="shared" ca="1" si="138"/>
        <v>711.1801317500001</v>
      </c>
      <c r="AD191" s="11">
        <f>+AC190</f>
        <v>0</v>
      </c>
      <c r="AE191" s="11">
        <f>+AD190</f>
        <v>0</v>
      </c>
      <c r="AF191" s="11">
        <f ca="1">+AE190</f>
        <v>0</v>
      </c>
      <c r="AG191" s="11">
        <f t="shared" ref="AG191:BA191" ca="1" si="140">+AF190</f>
        <v>0</v>
      </c>
      <c r="AH191" s="11">
        <f t="shared" ca="1" si="140"/>
        <v>0</v>
      </c>
      <c r="AI191" s="11">
        <f t="shared" ca="1" si="140"/>
        <v>0</v>
      </c>
      <c r="AJ191" s="11">
        <f t="shared" ca="1" si="140"/>
        <v>74.861066500000007</v>
      </c>
      <c r="AK191" s="11">
        <f t="shared" ca="1" si="140"/>
        <v>74.861066500000007</v>
      </c>
      <c r="AL191" s="11">
        <f t="shared" ca="1" si="140"/>
        <v>74.861066500000007</v>
      </c>
      <c r="AM191" s="11">
        <f t="shared" ca="1" si="140"/>
        <v>74.861066500000007</v>
      </c>
      <c r="AN191" s="11">
        <f t="shared" ca="1" si="140"/>
        <v>112.29159975000002</v>
      </c>
      <c r="AO191" s="11">
        <f t="shared" ca="1" si="140"/>
        <v>112.29159975000002</v>
      </c>
      <c r="AP191" s="11">
        <f t="shared" ca="1" si="140"/>
        <v>112.29159975000002</v>
      </c>
      <c r="AQ191" s="11">
        <f t="shared" ca="1" si="140"/>
        <v>112.29159975000002</v>
      </c>
      <c r="AR191" s="11">
        <f t="shared" ca="1" si="140"/>
        <v>149.72213300000001</v>
      </c>
      <c r="AS191" s="11">
        <f t="shared" ca="1" si="140"/>
        <v>149.72213300000001</v>
      </c>
      <c r="AT191" s="11">
        <f t="shared" ca="1" si="140"/>
        <v>149.72213300000001</v>
      </c>
      <c r="AU191" s="11">
        <f t="shared" ca="1" si="140"/>
        <v>149.72213300000001</v>
      </c>
      <c r="AV191" s="11">
        <f t="shared" ca="1" si="140"/>
        <v>168.43739962500001</v>
      </c>
      <c r="AW191" s="11">
        <f t="shared" ca="1" si="140"/>
        <v>168.43739962500001</v>
      </c>
      <c r="AX191" s="11">
        <f t="shared" ca="1" si="140"/>
        <v>168.43739962500001</v>
      </c>
      <c r="AY191" s="11">
        <f t="shared" ca="1" si="140"/>
        <v>168.43739962500001</v>
      </c>
      <c r="AZ191" s="11">
        <f t="shared" ca="1" si="140"/>
        <v>187.15266625000001</v>
      </c>
      <c r="BA191" s="11">
        <f t="shared" ca="1" si="140"/>
        <v>187.15266625000001</v>
      </c>
      <c r="BB191" s="102" t="s">
        <v>75</v>
      </c>
    </row>
    <row r="192" spans="2:54" x14ac:dyDescent="0.2">
      <c r="AE192" s="21"/>
      <c r="BB192" s="102" t="s">
        <v>75</v>
      </c>
    </row>
    <row r="193" spans="1:54" s="3" customFormat="1" x14ac:dyDescent="0.2">
      <c r="A193" s="17" t="s">
        <v>75</v>
      </c>
      <c r="B193" s="3" t="s">
        <v>368</v>
      </c>
      <c r="AD193" s="109"/>
      <c r="AE193" s="109"/>
      <c r="AF193" s="109"/>
      <c r="AG193" s="109"/>
      <c r="AH193" s="109"/>
      <c r="AI193" s="109"/>
      <c r="AJ193" s="109"/>
      <c r="AK193" s="109"/>
      <c r="AL193" s="109"/>
      <c r="AM193" s="109"/>
      <c r="AN193" s="109"/>
      <c r="AO193" s="109"/>
      <c r="AP193" s="109"/>
      <c r="AQ193" s="109"/>
      <c r="AR193" s="109"/>
      <c r="AS193" s="109"/>
      <c r="AT193" s="109"/>
      <c r="AU193" s="109"/>
      <c r="AV193" s="109"/>
      <c r="AW193" s="109"/>
      <c r="AX193" s="109"/>
      <c r="AY193" s="109"/>
      <c r="AZ193" s="109"/>
      <c r="BA193" s="109"/>
      <c r="BB193" s="87" t="s">
        <v>75</v>
      </c>
    </row>
    <row r="194" spans="1:54" x14ac:dyDescent="0.2">
      <c r="B194" s="1" t="s">
        <v>588</v>
      </c>
      <c r="C194" s="45" t="s">
        <v>187</v>
      </c>
      <c r="G194" s="12">
        <v>81</v>
      </c>
      <c r="H194" s="12">
        <v>238.8</v>
      </c>
      <c r="AD194" s="11">
        <f ca="1">+AD201+AD205</f>
        <v>150</v>
      </c>
      <c r="AE194" s="11">
        <f t="shared" ref="AE194:AK194" ca="1" si="141">+AE201+AE205</f>
        <v>150</v>
      </c>
      <c r="AF194" s="11">
        <f t="shared" ca="1" si="141"/>
        <v>90</v>
      </c>
      <c r="AG194" s="11">
        <f t="shared" ca="1" si="141"/>
        <v>60</v>
      </c>
      <c r="AH194" s="11">
        <f t="shared" ca="1" si="141"/>
        <v>87.5</v>
      </c>
      <c r="AI194" s="11">
        <f t="shared" ca="1" si="141"/>
        <v>87.5</v>
      </c>
      <c r="AJ194" s="11">
        <f t="shared" ca="1" si="141"/>
        <v>87.5</v>
      </c>
      <c r="AK194" s="11">
        <f t="shared" ca="1" si="141"/>
        <v>87.5</v>
      </c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AW194" s="11"/>
      <c r="AX194" s="11"/>
      <c r="AY194" s="11"/>
      <c r="AZ194" s="11"/>
      <c r="BA194" s="11"/>
      <c r="BB194" s="88" t="s">
        <v>75</v>
      </c>
    </row>
    <row r="195" spans="1:54" x14ac:dyDescent="0.2">
      <c r="B195" s="1" t="s">
        <v>589</v>
      </c>
      <c r="C195" s="45" t="s">
        <v>187</v>
      </c>
      <c r="G195" s="12">
        <v>18.2</v>
      </c>
      <c r="H195" s="12">
        <v>35.700000000000003</v>
      </c>
      <c r="AD195" s="11">
        <f ca="1">+AD196-AD194</f>
        <v>15</v>
      </c>
      <c r="AE195" s="11">
        <f t="shared" ref="AE195:AK195" ca="1" si="142">+AE196-AE194</f>
        <v>15</v>
      </c>
      <c r="AF195" s="11">
        <f t="shared" ca="1" si="142"/>
        <v>10</v>
      </c>
      <c r="AG195" s="11">
        <f t="shared" ca="1" si="142"/>
        <v>10</v>
      </c>
      <c r="AH195" s="11">
        <f t="shared" ca="1" si="142"/>
        <v>12.5</v>
      </c>
      <c r="AI195" s="11">
        <f t="shared" ca="1" si="142"/>
        <v>12.5</v>
      </c>
      <c r="AJ195" s="11">
        <f t="shared" ca="1" si="142"/>
        <v>12.5</v>
      </c>
      <c r="AK195" s="11">
        <f t="shared" ca="1" si="142"/>
        <v>12.5</v>
      </c>
      <c r="AL195" s="11"/>
      <c r="BB195" s="88" t="s">
        <v>75</v>
      </c>
    </row>
    <row r="196" spans="1:54" s="2" customFormat="1" x14ac:dyDescent="0.2">
      <c r="B196" s="18" t="s">
        <v>590</v>
      </c>
      <c r="C196" s="45" t="s">
        <v>187</v>
      </c>
      <c r="G196" s="23">
        <f>+G194+G195</f>
        <v>99.2</v>
      </c>
      <c r="H196" s="23">
        <f t="shared" ref="H196" si="143">+H194+H195</f>
        <v>274.5</v>
      </c>
      <c r="I196" s="106">
        <f t="shared" ref="I196:N196" ca="1" si="144">+SUMIFS(196:196,$6:$6,I$3)</f>
        <v>500</v>
      </c>
      <c r="J196" s="23">
        <f t="shared" ca="1" si="144"/>
        <v>400</v>
      </c>
      <c r="K196" s="23">
        <f t="shared" ca="1" si="144"/>
        <v>163.1736135682068</v>
      </c>
      <c r="L196" s="23">
        <f t="shared" ca="1" si="144"/>
        <v>167.49821498711836</v>
      </c>
      <c r="M196" s="23">
        <f t="shared" ca="1" si="144"/>
        <v>171.58778670263632</v>
      </c>
      <c r="N196" s="23">
        <f t="shared" ca="1" si="144"/>
        <v>174.78441765553936</v>
      </c>
      <c r="AD196" s="13">
        <f ca="1">-AD76</f>
        <v>165</v>
      </c>
      <c r="AE196" s="13">
        <f t="shared" ref="AE196:BA196" ca="1" si="145">-AE76</f>
        <v>165</v>
      </c>
      <c r="AF196" s="13">
        <f t="shared" ca="1" si="145"/>
        <v>100</v>
      </c>
      <c r="AG196" s="13">
        <f t="shared" ca="1" si="145"/>
        <v>70</v>
      </c>
      <c r="AH196" s="13">
        <f t="shared" ca="1" si="145"/>
        <v>100</v>
      </c>
      <c r="AI196" s="13">
        <f t="shared" ca="1" si="145"/>
        <v>100</v>
      </c>
      <c r="AJ196" s="13">
        <f t="shared" ca="1" si="145"/>
        <v>100</v>
      </c>
      <c r="AK196" s="13">
        <f t="shared" ca="1" si="145"/>
        <v>100</v>
      </c>
      <c r="AL196" s="13">
        <f t="shared" ca="1" si="145"/>
        <v>40.793403392051701</v>
      </c>
      <c r="AM196" s="13">
        <f t="shared" ca="1" si="145"/>
        <v>40.793403392051701</v>
      </c>
      <c r="AN196" s="13">
        <f t="shared" ca="1" si="145"/>
        <v>40.793403392051701</v>
      </c>
      <c r="AO196" s="13">
        <f t="shared" ca="1" si="145"/>
        <v>40.793403392051701</v>
      </c>
      <c r="AP196" s="13">
        <f t="shared" ca="1" si="145"/>
        <v>41.87455374677959</v>
      </c>
      <c r="AQ196" s="13">
        <f t="shared" ca="1" si="145"/>
        <v>41.87455374677959</v>
      </c>
      <c r="AR196" s="13">
        <f t="shared" ca="1" si="145"/>
        <v>41.87455374677959</v>
      </c>
      <c r="AS196" s="13">
        <f t="shared" ca="1" si="145"/>
        <v>41.87455374677959</v>
      </c>
      <c r="AT196" s="13">
        <f t="shared" ca="1" si="145"/>
        <v>42.89694667565908</v>
      </c>
      <c r="AU196" s="13">
        <f t="shared" ca="1" si="145"/>
        <v>42.89694667565908</v>
      </c>
      <c r="AV196" s="13">
        <f t="shared" ca="1" si="145"/>
        <v>42.89694667565908</v>
      </c>
      <c r="AW196" s="13">
        <f t="shared" ca="1" si="145"/>
        <v>42.89694667565908</v>
      </c>
      <c r="AX196" s="13">
        <f t="shared" ca="1" si="145"/>
        <v>43.696104413884839</v>
      </c>
      <c r="AY196" s="13">
        <f t="shared" ca="1" si="145"/>
        <v>43.696104413884839</v>
      </c>
      <c r="AZ196" s="13">
        <f t="shared" ca="1" si="145"/>
        <v>43.696104413884839</v>
      </c>
      <c r="BA196" s="13">
        <f t="shared" ca="1" si="145"/>
        <v>43.696104413884839</v>
      </c>
      <c r="BB196" s="88" t="s">
        <v>75</v>
      </c>
    </row>
    <row r="197" spans="1:54" s="25" customFormat="1" x14ac:dyDescent="0.2">
      <c r="B197" s="26" t="s">
        <v>316</v>
      </c>
      <c r="C197" s="45" t="s">
        <v>177</v>
      </c>
      <c r="D197" s="2"/>
      <c r="E197" s="11"/>
      <c r="F197" s="11"/>
      <c r="G197" s="70">
        <f>-G76/G8</f>
        <v>0.10236207879992962</v>
      </c>
      <c r="H197" s="70">
        <f>-H76/H8</f>
        <v>0.17331952673648846</v>
      </c>
      <c r="I197" s="70">
        <f ca="1">-I76/I8</f>
        <v>0.33701993253165052</v>
      </c>
      <c r="J197" s="70">
        <f ca="1">-J76/J8</f>
        <v>0.23943608504284852</v>
      </c>
      <c r="K197" s="318">
        <f ca="1">+Ctrl!$G$75</f>
        <v>0.09</v>
      </c>
      <c r="L197" s="318">
        <f ca="1">+Ctrl!$G$76</f>
        <v>8.5000000000000006E-2</v>
      </c>
      <c r="M197" s="318">
        <f ca="1">+Ctrl!$G$77</f>
        <v>0.08</v>
      </c>
      <c r="N197" s="318">
        <f ca="1">+Ctrl!$G$78</f>
        <v>7.4999999999999997E-2</v>
      </c>
      <c r="R197" s="158"/>
      <c r="S197" s="158"/>
      <c r="T197" s="158"/>
      <c r="U197" s="158"/>
      <c r="AD197" s="70">
        <f ca="1">+AD196/AA8</f>
        <v>0.38714672861014326</v>
      </c>
      <c r="AE197" s="70">
        <f t="shared" ref="AE197:BA197" ca="1" si="146">+AE196/AB8</f>
        <v>0.35503875301782944</v>
      </c>
      <c r="AF197" s="70">
        <f t="shared" ca="1" si="146"/>
        <v>0.27960452735650687</v>
      </c>
      <c r="AG197" s="70">
        <f t="shared" ca="1" si="146"/>
        <v>0.21392232453868218</v>
      </c>
      <c r="AH197" s="70">
        <f t="shared" ca="1" si="146"/>
        <v>0.23186161851843629</v>
      </c>
      <c r="AI197" s="70">
        <f t="shared" ca="1" si="146"/>
        <v>0.23754652889646391</v>
      </c>
      <c r="AJ197" s="70">
        <f t="shared" ca="1" si="146"/>
        <v>0.32883021715599686</v>
      </c>
      <c r="AK197" s="70">
        <f t="shared" ca="1" si="146"/>
        <v>0.2714653277702172</v>
      </c>
      <c r="AL197" s="70">
        <f t="shared" ca="1" si="146"/>
        <v>8.4016540238697382E-2</v>
      </c>
      <c r="AM197" s="70">
        <f t="shared" ca="1" si="146"/>
        <v>8.6063061689165873E-2</v>
      </c>
      <c r="AN197" s="70">
        <f t="shared" ca="1" si="146"/>
        <v>0.11904007042522664</v>
      </c>
      <c r="AO197" s="70">
        <f t="shared" ca="1" si="146"/>
        <v>0.10254166164700068</v>
      </c>
      <c r="AP197" s="70">
        <f t="shared" ca="1" si="146"/>
        <v>7.9121082794128342E-2</v>
      </c>
      <c r="AQ197" s="70">
        <f t="shared" ca="1" si="146"/>
        <v>8.1066625846293955E-2</v>
      </c>
      <c r="AR197" s="70">
        <f t="shared" ca="1" si="146"/>
        <v>0.11335030501307691</v>
      </c>
      <c r="AS197" s="70">
        <f t="shared" ca="1" si="146"/>
        <v>9.7315269341786595E-2</v>
      </c>
      <c r="AT197" s="70">
        <f t="shared" ca="1" si="146"/>
        <v>7.4257129482643125E-2</v>
      </c>
      <c r="AU197" s="70">
        <f t="shared" ca="1" si="146"/>
        <v>7.6098092847646598E-2</v>
      </c>
      <c r="AV197" s="70">
        <f t="shared" ca="1" si="146"/>
        <v>0.10754288566443039</v>
      </c>
      <c r="AW197" s="70">
        <f t="shared" ca="1" si="146"/>
        <v>9.2028174245418759E-2</v>
      </c>
      <c r="AX197" s="70">
        <f t="shared" ca="1" si="146"/>
        <v>6.9208061076391811E-2</v>
      </c>
      <c r="AY197" s="70">
        <f t="shared" ca="1" si="146"/>
        <v>7.0935942099785099E-2</v>
      </c>
      <c r="AZ197" s="70">
        <f t="shared" ca="1" si="146"/>
        <v>0.10130033558872634</v>
      </c>
      <c r="BA197" s="70">
        <f t="shared" ca="1" si="146"/>
        <v>8.6654495163192929E-2</v>
      </c>
      <c r="BB197" s="88" t="s">
        <v>75</v>
      </c>
    </row>
    <row r="198" spans="1:54" s="25" customFormat="1" x14ac:dyDescent="0.2">
      <c r="B198" s="26" t="s">
        <v>315</v>
      </c>
      <c r="C198" s="45" t="s">
        <v>177</v>
      </c>
      <c r="D198" s="153"/>
      <c r="E198" s="11"/>
      <c r="F198" s="11"/>
      <c r="G198" s="70">
        <f t="shared" ref="G198:N198" ca="1" si="147">-G76/(G15*(1-$D$22))</f>
        <v>0.4836477345856488</v>
      </c>
      <c r="H198" s="70">
        <f t="shared" ca="1" si="147"/>
        <v>1.6672242480464081</v>
      </c>
      <c r="I198" s="70">
        <f t="shared" ca="1" si="147"/>
        <v>1.2272088564654207</v>
      </c>
      <c r="J198" s="70">
        <f t="shared" ca="1" si="147"/>
        <v>0.78659213195543165</v>
      </c>
      <c r="K198" s="70">
        <f t="shared" ca="1" si="147"/>
        <v>0.29663792676649686</v>
      </c>
      <c r="L198" s="70">
        <f t="shared" ca="1" si="147"/>
        <v>0.26242440118845861</v>
      </c>
      <c r="M198" s="70">
        <f t="shared" ca="1" si="147"/>
        <v>0.23807300643257473</v>
      </c>
      <c r="N198" s="70">
        <f t="shared" ca="1" si="147"/>
        <v>0.21620902849090884</v>
      </c>
      <c r="R198" s="158"/>
      <c r="S198" s="158"/>
      <c r="T198" s="158"/>
      <c r="U198" s="158"/>
      <c r="AD198" s="70">
        <f ca="1">AD196/(AD15*(1-$D$22))</f>
        <v>2.1349620778044254</v>
      </c>
      <c r="AE198" s="70">
        <f t="shared" ref="AE198:BA198" ca="1" si="148">AE196/(AE15*(1-$D$22))</f>
        <v>1.1778861136499028</v>
      </c>
      <c r="AF198" s="70">
        <f t="shared" ca="1" si="148"/>
        <v>0.72807927692150576</v>
      </c>
      <c r="AG198" s="70">
        <f t="shared" ca="1" si="148"/>
        <v>1.3279020632230694</v>
      </c>
      <c r="AH198" s="70">
        <f t="shared" ca="1" si="148"/>
        <v>1.0722982631431752</v>
      </c>
      <c r="AI198" s="70">
        <f t="shared" ca="1" si="148"/>
        <v>0.56640557735665742</v>
      </c>
      <c r="AJ198" s="70">
        <f t="shared" ca="1" si="148"/>
        <v>0.60112715683357232</v>
      </c>
      <c r="AK198" s="70">
        <f t="shared" ca="1" si="148"/>
        <v>1.381997440851424</v>
      </c>
      <c r="AL198" s="70">
        <f t="shared" ca="1" si="148"/>
        <v>0.41855233256885882</v>
      </c>
      <c r="AM198" s="70">
        <f t="shared" ca="1" si="148"/>
        <v>0.20954859695803688</v>
      </c>
      <c r="AN198" s="70">
        <f t="shared" ca="1" si="148"/>
        <v>0.22521458022959445</v>
      </c>
      <c r="AO198" s="70">
        <f t="shared" ca="1" si="148"/>
        <v>0.5310978162389286</v>
      </c>
      <c r="AP198" s="70">
        <f t="shared" ca="1" si="148"/>
        <v>0.36799718415316646</v>
      </c>
      <c r="AQ198" s="70">
        <f t="shared" ca="1" si="148"/>
        <v>0.18705560457527182</v>
      </c>
      <c r="AR198" s="70">
        <f t="shared" ca="1" si="148"/>
        <v>0.20080878367782223</v>
      </c>
      <c r="AS198" s="70">
        <f t="shared" ca="1" si="148"/>
        <v>0.45470933234741956</v>
      </c>
      <c r="AT198" s="70">
        <f t="shared" ca="1" si="148"/>
        <v>0.33323730499469678</v>
      </c>
      <c r="AU198" s="70">
        <f t="shared" ca="1" si="148"/>
        <v>0.17025813307759621</v>
      </c>
      <c r="AV198" s="70">
        <f t="shared" ca="1" si="148"/>
        <v>0.18232628007566259</v>
      </c>
      <c r="AW198" s="70">
        <f t="shared" ca="1" si="148"/>
        <v>0.40940033848766866</v>
      </c>
      <c r="AX198" s="70">
        <f t="shared" ca="1" si="148"/>
        <v>0.30224791629323688</v>
      </c>
      <c r="AY198" s="70">
        <f t="shared" ca="1" si="148"/>
        <v>0.15503670201999076</v>
      </c>
      <c r="AZ198" s="70">
        <f t="shared" ca="1" si="148"/>
        <v>0.16568492800001913</v>
      </c>
      <c r="BA198" s="70">
        <f t="shared" ca="1" si="148"/>
        <v>0.36948973134140867</v>
      </c>
      <c r="BB198" s="88" t="s">
        <v>75</v>
      </c>
    </row>
    <row r="199" spans="1:54" x14ac:dyDescent="0.2">
      <c r="E199" s="11"/>
      <c r="F199" s="11"/>
      <c r="R199" s="13"/>
      <c r="S199" s="13"/>
      <c r="T199" s="13"/>
      <c r="U199" s="13"/>
      <c r="BB199" s="88" t="s">
        <v>75</v>
      </c>
    </row>
    <row r="200" spans="1:54" x14ac:dyDescent="0.2">
      <c r="B200" s="1" t="s">
        <v>606</v>
      </c>
      <c r="BB200" s="88" t="s">
        <v>75</v>
      </c>
    </row>
    <row r="201" spans="1:54" x14ac:dyDescent="0.2">
      <c r="B201" s="19" t="s">
        <v>599</v>
      </c>
      <c r="D201" s="306">
        <v>600</v>
      </c>
      <c r="G201" s="23">
        <f t="shared" ref="G201:N201" si="149">+SUMIFS(201:201,$6:$6,G$3)</f>
        <v>0</v>
      </c>
      <c r="H201" s="12">
        <f>87.4+28.3</f>
        <v>115.7</v>
      </c>
      <c r="I201" s="23">
        <f t="shared" ca="1" si="149"/>
        <v>450</v>
      </c>
      <c r="J201" s="23">
        <f t="shared" ca="1" si="149"/>
        <v>0</v>
      </c>
      <c r="K201" s="23">
        <f t="shared" ca="1" si="149"/>
        <v>0</v>
      </c>
      <c r="L201" s="23">
        <f t="shared" ca="1" si="149"/>
        <v>0</v>
      </c>
      <c r="M201" s="23">
        <f t="shared" ca="1" si="149"/>
        <v>0</v>
      </c>
      <c r="N201" s="23">
        <f t="shared" ca="1" si="149"/>
        <v>0</v>
      </c>
      <c r="AD201" s="11">
        <f ca="1">+AD202*$D201</f>
        <v>150</v>
      </c>
      <c r="AE201" s="11">
        <f t="shared" ref="AE201" ca="1" si="150">+AE202*$D201</f>
        <v>150</v>
      </c>
      <c r="AF201" s="11">
        <f t="shared" ref="AF201" ca="1" si="151">+AF202*$D201</f>
        <v>90</v>
      </c>
      <c r="AG201" s="11">
        <f t="shared" ref="AG201" ca="1" si="152">+AG202*$D201</f>
        <v>60</v>
      </c>
      <c r="AH201" s="11">
        <f t="shared" ref="AH201" ca="1" si="153">+AH202*$D201</f>
        <v>0</v>
      </c>
      <c r="AI201" s="11">
        <f t="shared" ref="AI201" ca="1" si="154">+AI202*$D201</f>
        <v>0</v>
      </c>
      <c r="AJ201" s="11">
        <f t="shared" ref="AJ201" ca="1" si="155">+AJ202*$D201</f>
        <v>0</v>
      </c>
      <c r="AK201" s="11">
        <f t="shared" ref="AK201" ca="1" si="156">+AK202*$D201</f>
        <v>0</v>
      </c>
      <c r="AL201" s="11">
        <f t="shared" ref="AL201" ca="1" si="157">+AL202*$D201</f>
        <v>0</v>
      </c>
      <c r="AM201" s="11">
        <f t="shared" ref="AM201" ca="1" si="158">+AM202*$D201</f>
        <v>0</v>
      </c>
      <c r="AN201" s="11">
        <f t="shared" ref="AN201" ca="1" si="159">+AN202*$D201</f>
        <v>0</v>
      </c>
      <c r="AO201" s="11">
        <f t="shared" ref="AO201" ca="1" si="160">+AO202*$D201</f>
        <v>0</v>
      </c>
      <c r="AP201" s="11">
        <f t="shared" ref="AP201" ca="1" si="161">+AP202*$D201</f>
        <v>0</v>
      </c>
      <c r="AQ201" s="11">
        <f t="shared" ref="AQ201" ca="1" si="162">+AQ202*$D201</f>
        <v>0</v>
      </c>
      <c r="AR201" s="11">
        <f t="shared" ref="AR201" ca="1" si="163">+AR202*$D201</f>
        <v>0</v>
      </c>
      <c r="AS201" s="11">
        <f t="shared" ref="AS201" ca="1" si="164">+AS202*$D201</f>
        <v>0</v>
      </c>
      <c r="AT201" s="11">
        <f t="shared" ref="AT201" ca="1" si="165">+AT202*$D201</f>
        <v>0</v>
      </c>
      <c r="AU201" s="11">
        <f t="shared" ref="AU201" ca="1" si="166">+AU202*$D201</f>
        <v>0</v>
      </c>
      <c r="AV201" s="11">
        <f t="shared" ref="AV201" ca="1" si="167">+AV202*$D201</f>
        <v>0</v>
      </c>
      <c r="AW201" s="11">
        <f t="shared" ref="AW201" ca="1" si="168">+AW202*$D201</f>
        <v>0</v>
      </c>
      <c r="AX201" s="11">
        <f t="shared" ref="AX201" ca="1" si="169">+AX202*$D201</f>
        <v>0</v>
      </c>
      <c r="AY201" s="11">
        <f t="shared" ref="AY201" ca="1" si="170">+AY202*$D201</f>
        <v>0</v>
      </c>
      <c r="AZ201" s="11">
        <f t="shared" ref="AZ201" ca="1" si="171">+AZ202*$D201</f>
        <v>0</v>
      </c>
      <c r="BA201" s="11">
        <f t="shared" ref="BA201" ca="1" si="172">+BA202*$D201</f>
        <v>0</v>
      </c>
      <c r="BB201" s="88" t="s">
        <v>75</v>
      </c>
    </row>
    <row r="202" spans="1:54" x14ac:dyDescent="0.2">
      <c r="B202" s="19" t="s">
        <v>605</v>
      </c>
      <c r="D202" s="260"/>
      <c r="AD202" s="86">
        <f ca="1">+SUMIFS(Drivers!$66:$66,Drivers!$3:$3,AD$3)</f>
        <v>0.25</v>
      </c>
      <c r="AE202" s="86">
        <f ca="1">+SUMIFS(Drivers!$66:$66,Drivers!$3:$3,AE$3)</f>
        <v>0.25</v>
      </c>
      <c r="AF202" s="86">
        <f ca="1">+SUMIFS(Drivers!$66:$66,Drivers!$3:$3,AF$3)</f>
        <v>0.15</v>
      </c>
      <c r="AG202" s="86">
        <f ca="1">+SUMIFS(Drivers!$66:$66,Drivers!$3:$3,AG$3)</f>
        <v>0.1</v>
      </c>
      <c r="AH202" s="86">
        <f ca="1">+SUMIFS(Drivers!$66:$66,Drivers!$3:$3,AH$3)</f>
        <v>0</v>
      </c>
      <c r="AI202" s="86">
        <f ca="1">+SUMIFS(Drivers!$66:$66,Drivers!$3:$3,AI$3)</f>
        <v>0</v>
      </c>
      <c r="AJ202" s="86">
        <f ca="1">+SUMIFS(Drivers!$66:$66,Drivers!$3:$3,AJ$3)</f>
        <v>0</v>
      </c>
      <c r="AK202" s="86">
        <f ca="1">+SUMIFS(Drivers!$66:$66,Drivers!$3:$3,AK$3)</f>
        <v>0</v>
      </c>
      <c r="AL202" s="86">
        <f ca="1">+SUMIFS(Drivers!$66:$66,Drivers!$3:$3,AL$3)</f>
        <v>0</v>
      </c>
      <c r="AM202" s="86">
        <f ca="1">+SUMIFS(Drivers!$66:$66,Drivers!$3:$3,AM$3)</f>
        <v>0</v>
      </c>
      <c r="AN202" s="86">
        <f ca="1">+SUMIFS(Drivers!$66:$66,Drivers!$3:$3,AN$3)</f>
        <v>0</v>
      </c>
      <c r="AO202" s="86">
        <f ca="1">+SUMIFS(Drivers!$66:$66,Drivers!$3:$3,AO$3)</f>
        <v>0</v>
      </c>
      <c r="AP202" s="86">
        <f ca="1">+SUMIFS(Drivers!$66:$66,Drivers!$3:$3,AP$3)</f>
        <v>0</v>
      </c>
      <c r="AQ202" s="86">
        <f ca="1">+SUMIFS(Drivers!$66:$66,Drivers!$3:$3,AQ$3)</f>
        <v>0</v>
      </c>
      <c r="AR202" s="86">
        <f ca="1">+SUMIFS(Drivers!$66:$66,Drivers!$3:$3,AR$3)</f>
        <v>0</v>
      </c>
      <c r="AS202" s="86">
        <f ca="1">+SUMIFS(Drivers!$66:$66,Drivers!$3:$3,AS$3)</f>
        <v>0</v>
      </c>
      <c r="AT202" s="86">
        <f ca="1">+SUMIFS(Drivers!$66:$66,Drivers!$3:$3,AT$3)</f>
        <v>0</v>
      </c>
      <c r="AU202" s="86">
        <f ca="1">+SUMIFS(Drivers!$66:$66,Drivers!$3:$3,AU$3)</f>
        <v>0</v>
      </c>
      <c r="AV202" s="86">
        <f ca="1">+SUMIFS(Drivers!$66:$66,Drivers!$3:$3,AV$3)</f>
        <v>0</v>
      </c>
      <c r="AW202" s="86">
        <f ca="1">+SUMIFS(Drivers!$66:$66,Drivers!$3:$3,AW$3)</f>
        <v>0</v>
      </c>
      <c r="AX202" s="86">
        <f ca="1">+SUMIFS(Drivers!$66:$66,Drivers!$3:$3,AX$3)</f>
        <v>0</v>
      </c>
      <c r="AY202" s="86">
        <f ca="1">+SUMIFS(Drivers!$66:$66,Drivers!$3:$3,AY$3)</f>
        <v>0</v>
      </c>
      <c r="AZ202" s="86">
        <f ca="1">+SUMIFS(Drivers!$66:$66,Drivers!$3:$3,AZ$3)</f>
        <v>0</v>
      </c>
      <c r="BA202" s="86">
        <f ca="1">+SUMIFS(Drivers!$66:$66,Drivers!$3:$3,BA$3)</f>
        <v>0</v>
      </c>
      <c r="BB202" s="88" t="s">
        <v>75</v>
      </c>
    </row>
    <row r="203" spans="1:54" x14ac:dyDescent="0.2">
      <c r="D203" s="260"/>
      <c r="BB203" s="88" t="s">
        <v>75</v>
      </c>
    </row>
    <row r="204" spans="1:54" x14ac:dyDescent="0.2">
      <c r="B204" s="1" t="s">
        <v>591</v>
      </c>
      <c r="D204" s="260"/>
      <c r="BB204" s="88" t="s">
        <v>75</v>
      </c>
    </row>
    <row r="205" spans="1:54" x14ac:dyDescent="0.2">
      <c r="B205" s="19" t="s">
        <v>599</v>
      </c>
      <c r="D205" s="306">
        <v>350</v>
      </c>
      <c r="G205" s="23">
        <f t="shared" ref="G205:N205" si="173">+SUMIFS(205:205,$6:$6,G$3)</f>
        <v>0</v>
      </c>
      <c r="H205" s="23">
        <f t="shared" si="173"/>
        <v>0</v>
      </c>
      <c r="I205" s="23">
        <f t="shared" ca="1" si="173"/>
        <v>0</v>
      </c>
      <c r="J205" s="23">
        <f t="shared" ca="1" si="173"/>
        <v>350</v>
      </c>
      <c r="K205" s="23">
        <f t="shared" ca="1" si="173"/>
        <v>0</v>
      </c>
      <c r="L205" s="23">
        <f t="shared" ca="1" si="173"/>
        <v>0</v>
      </c>
      <c r="M205" s="23">
        <f t="shared" ca="1" si="173"/>
        <v>0</v>
      </c>
      <c r="N205" s="23">
        <f t="shared" ca="1" si="173"/>
        <v>0</v>
      </c>
      <c r="AD205" s="11">
        <f ca="1">+AD206*$D205</f>
        <v>0</v>
      </c>
      <c r="AE205" s="11">
        <f t="shared" ref="AE205:BA205" ca="1" si="174">+AE206*$D205</f>
        <v>0</v>
      </c>
      <c r="AF205" s="11">
        <f t="shared" ca="1" si="174"/>
        <v>0</v>
      </c>
      <c r="AG205" s="11">
        <f t="shared" ca="1" si="174"/>
        <v>0</v>
      </c>
      <c r="AH205" s="11">
        <f t="shared" ca="1" si="174"/>
        <v>87.5</v>
      </c>
      <c r="AI205" s="11">
        <f t="shared" ca="1" si="174"/>
        <v>87.5</v>
      </c>
      <c r="AJ205" s="11">
        <f t="shared" ca="1" si="174"/>
        <v>87.5</v>
      </c>
      <c r="AK205" s="11">
        <f t="shared" ca="1" si="174"/>
        <v>87.5</v>
      </c>
      <c r="AL205" s="11">
        <f t="shared" ca="1" si="174"/>
        <v>0</v>
      </c>
      <c r="AM205" s="11">
        <f t="shared" ca="1" si="174"/>
        <v>0</v>
      </c>
      <c r="AN205" s="11">
        <f t="shared" ca="1" si="174"/>
        <v>0</v>
      </c>
      <c r="AO205" s="11">
        <f t="shared" ca="1" si="174"/>
        <v>0</v>
      </c>
      <c r="AP205" s="11">
        <f t="shared" ca="1" si="174"/>
        <v>0</v>
      </c>
      <c r="AQ205" s="11">
        <f t="shared" ca="1" si="174"/>
        <v>0</v>
      </c>
      <c r="AR205" s="11">
        <f t="shared" ca="1" si="174"/>
        <v>0</v>
      </c>
      <c r="AS205" s="11">
        <f t="shared" ca="1" si="174"/>
        <v>0</v>
      </c>
      <c r="AT205" s="11">
        <f t="shared" ca="1" si="174"/>
        <v>0</v>
      </c>
      <c r="AU205" s="11">
        <f t="shared" ca="1" si="174"/>
        <v>0</v>
      </c>
      <c r="AV205" s="11">
        <f t="shared" ca="1" si="174"/>
        <v>0</v>
      </c>
      <c r="AW205" s="11">
        <f t="shared" ca="1" si="174"/>
        <v>0</v>
      </c>
      <c r="AX205" s="11">
        <f t="shared" ca="1" si="174"/>
        <v>0</v>
      </c>
      <c r="AY205" s="11">
        <f t="shared" ca="1" si="174"/>
        <v>0</v>
      </c>
      <c r="AZ205" s="11">
        <f t="shared" ca="1" si="174"/>
        <v>0</v>
      </c>
      <c r="BA205" s="11">
        <f t="shared" ca="1" si="174"/>
        <v>0</v>
      </c>
      <c r="BB205" s="88" t="s">
        <v>75</v>
      </c>
    </row>
    <row r="206" spans="1:54" x14ac:dyDescent="0.2">
      <c r="B206" s="19" t="s">
        <v>605</v>
      </c>
      <c r="AD206" s="86">
        <f ca="1">+SUMIFS(Drivers!$69:$69,Drivers!$3:$3,AD$3)</f>
        <v>0</v>
      </c>
      <c r="AE206" s="86">
        <f ca="1">+SUMIFS(Drivers!$69:$69,Drivers!$3:$3,AE$3)</f>
        <v>0</v>
      </c>
      <c r="AF206" s="86">
        <f ca="1">+SUMIFS(Drivers!$69:$69,Drivers!$3:$3,AF$3)</f>
        <v>0</v>
      </c>
      <c r="AG206" s="86">
        <f ca="1">+SUMIFS(Drivers!$69:$69,Drivers!$3:$3,AG$3)</f>
        <v>0</v>
      </c>
      <c r="AH206" s="86">
        <f ca="1">+SUMIFS(Drivers!$69:$69,Drivers!$3:$3,AH$3)</f>
        <v>0.25</v>
      </c>
      <c r="AI206" s="86">
        <f ca="1">+SUMIFS(Drivers!$69:$69,Drivers!$3:$3,AI$3)</f>
        <v>0.25</v>
      </c>
      <c r="AJ206" s="86">
        <f ca="1">+SUMIFS(Drivers!$69:$69,Drivers!$3:$3,AJ$3)</f>
        <v>0.25</v>
      </c>
      <c r="AK206" s="86">
        <f ca="1">+SUMIFS(Drivers!$69:$69,Drivers!$3:$3,AK$3)</f>
        <v>0.25</v>
      </c>
      <c r="AL206" s="86">
        <f ca="1">+SUMIFS(Drivers!$69:$69,Drivers!$3:$3,AL$3)</f>
        <v>0</v>
      </c>
      <c r="AM206" s="86">
        <f ca="1">+SUMIFS(Drivers!$69:$69,Drivers!$3:$3,AM$3)</f>
        <v>0</v>
      </c>
      <c r="AN206" s="86">
        <f ca="1">+SUMIFS(Drivers!$69:$69,Drivers!$3:$3,AN$3)</f>
        <v>0</v>
      </c>
      <c r="AO206" s="86">
        <f ca="1">+SUMIFS(Drivers!$69:$69,Drivers!$3:$3,AO$3)</f>
        <v>0</v>
      </c>
      <c r="AP206" s="86">
        <f ca="1">+SUMIFS(Drivers!$69:$69,Drivers!$3:$3,AP$3)</f>
        <v>0</v>
      </c>
      <c r="AQ206" s="86">
        <f ca="1">+SUMIFS(Drivers!$69:$69,Drivers!$3:$3,AQ$3)</f>
        <v>0</v>
      </c>
      <c r="AR206" s="86">
        <f ca="1">+SUMIFS(Drivers!$69:$69,Drivers!$3:$3,AR$3)</f>
        <v>0</v>
      </c>
      <c r="AS206" s="86">
        <f ca="1">+SUMIFS(Drivers!$69:$69,Drivers!$3:$3,AS$3)</f>
        <v>0</v>
      </c>
      <c r="AT206" s="86">
        <f ca="1">+SUMIFS(Drivers!$69:$69,Drivers!$3:$3,AT$3)</f>
        <v>0</v>
      </c>
      <c r="AU206" s="86">
        <f ca="1">+SUMIFS(Drivers!$69:$69,Drivers!$3:$3,AU$3)</f>
        <v>0</v>
      </c>
      <c r="AV206" s="86">
        <f ca="1">+SUMIFS(Drivers!$69:$69,Drivers!$3:$3,AV$3)</f>
        <v>0</v>
      </c>
      <c r="AW206" s="86">
        <f ca="1">+SUMIFS(Drivers!$69:$69,Drivers!$3:$3,AW$3)</f>
        <v>0</v>
      </c>
      <c r="AX206" s="86">
        <f ca="1">+SUMIFS(Drivers!$69:$69,Drivers!$3:$3,AX$3)</f>
        <v>0</v>
      </c>
      <c r="AY206" s="86">
        <f ca="1">+SUMIFS(Drivers!$69:$69,Drivers!$3:$3,AY$3)</f>
        <v>0</v>
      </c>
      <c r="AZ206" s="86">
        <f ca="1">+SUMIFS(Drivers!$69:$69,Drivers!$3:$3,AZ$3)</f>
        <v>0</v>
      </c>
      <c r="BA206" s="86">
        <f ca="1">+SUMIFS(Drivers!$69:$69,Drivers!$3:$3,BA$3)</f>
        <v>0</v>
      </c>
      <c r="BB206" s="88" t="s">
        <v>75</v>
      </c>
    </row>
  </sheetData>
  <conditionalFormatting sqref="R164:U164 R171:BA173">
    <cfRule type="cellIs" dxfId="51" priority="32" operator="equal">
      <formula>"OK"</formula>
    </cfRule>
  </conditionalFormatting>
  <conditionalFormatting sqref="R164:U164 R171:BA173">
    <cfRule type="cellIs" dxfId="50" priority="31" operator="equal">
      <formula>"CHECK"</formula>
    </cfRule>
  </conditionalFormatting>
  <conditionalFormatting sqref="F171:N173 F164:N164">
    <cfRule type="cellIs" dxfId="49" priority="30" operator="equal">
      <formula>"OK"</formula>
    </cfRule>
  </conditionalFormatting>
  <conditionalFormatting sqref="F171:N173 F164:N164">
    <cfRule type="cellIs" dxfId="48" priority="29" operator="equal">
      <formula>"CHECK"</formula>
    </cfRule>
  </conditionalFormatting>
  <conditionalFormatting sqref="R168:AC168 R169:BA170 R165:BA167">
    <cfRule type="cellIs" dxfId="47" priority="24" operator="equal">
      <formula>"OK"</formula>
    </cfRule>
  </conditionalFormatting>
  <conditionalFormatting sqref="R168:AC168 R169:BA170 R165:BA167">
    <cfRule type="cellIs" dxfId="46" priority="23" operator="equal">
      <formula>"CHECK"</formula>
    </cfRule>
  </conditionalFormatting>
  <conditionalFormatting sqref="F165:N165 F170:N170 F166:F169 H166:N167">
    <cfRule type="cellIs" dxfId="45" priority="22" operator="equal">
      <formula>"OK"</formula>
    </cfRule>
  </conditionalFormatting>
  <conditionalFormatting sqref="F165:N165 F170:N170 F166:F169 H166:N167">
    <cfRule type="cellIs" dxfId="44" priority="21" operator="equal">
      <formula>"CHECK"</formula>
    </cfRule>
  </conditionalFormatting>
  <conditionalFormatting sqref="C164">
    <cfRule type="cellIs" dxfId="43" priority="20" operator="equal">
      <formula>"OK"</formula>
    </cfRule>
  </conditionalFormatting>
  <conditionalFormatting sqref="C164">
    <cfRule type="cellIs" dxfId="42" priority="19" operator="equal">
      <formula>"CHECK"</formula>
    </cfRule>
  </conditionalFormatting>
  <conditionalFormatting sqref="C1">
    <cfRule type="cellIs" dxfId="41" priority="18" operator="equal">
      <formula>"OK"</formula>
    </cfRule>
  </conditionalFormatting>
  <conditionalFormatting sqref="C1">
    <cfRule type="cellIs" dxfId="40" priority="17" operator="equal">
      <formula>"CHECK"</formula>
    </cfRule>
  </conditionalFormatting>
  <conditionalFormatting sqref="AD179:BA179">
    <cfRule type="cellIs" dxfId="39" priority="16" operator="equal">
      <formula>"OK"</formula>
    </cfRule>
  </conditionalFormatting>
  <conditionalFormatting sqref="AD179:BA179">
    <cfRule type="cellIs" dxfId="38" priority="15" operator="equal">
      <formula>"CHECK"</formula>
    </cfRule>
  </conditionalFormatting>
  <conditionalFormatting sqref="G164:N164">
    <cfRule type="cellIs" dxfId="37" priority="13" operator="equal">
      <formula>-1</formula>
    </cfRule>
    <cfRule type="cellIs" dxfId="36" priority="14" operator="equal">
      <formula>1</formula>
    </cfRule>
  </conditionalFormatting>
  <conditionalFormatting sqref="V164:BA164">
    <cfRule type="cellIs" dxfId="35" priority="8" operator="equal">
      <formula>"OK"</formula>
    </cfRule>
  </conditionalFormatting>
  <conditionalFormatting sqref="V164:BA164">
    <cfRule type="cellIs" dxfId="34" priority="7" operator="equal">
      <formula>"CHECK"</formula>
    </cfRule>
  </conditionalFormatting>
  <conditionalFormatting sqref="V164:BA164">
    <cfRule type="cellIs" dxfId="33" priority="5" operator="equal">
      <formula>-1</formula>
    </cfRule>
    <cfRule type="cellIs" dxfId="32" priority="6" operator="equal">
      <formula>1</formula>
    </cfRule>
  </conditionalFormatting>
  <conditionalFormatting sqref="D166">
    <cfRule type="cellIs" dxfId="31" priority="4" operator="equal">
      <formula>"OK"</formula>
    </cfRule>
  </conditionalFormatting>
  <conditionalFormatting sqref="D166">
    <cfRule type="cellIs" dxfId="30" priority="3" operator="equal">
      <formula>"CHECK"</formula>
    </cfRule>
  </conditionalFormatting>
  <conditionalFormatting sqref="G166:N167">
    <cfRule type="cellIs" dxfId="29" priority="2" operator="equal">
      <formula>"OK"</formula>
    </cfRule>
  </conditionalFormatting>
  <conditionalFormatting sqref="G166:N167">
    <cfRule type="cellIs" dxfId="28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8FDF-B5F9-42F0-A5FA-F7C262998CEA}">
  <sheetPr>
    <tabColor theme="9" tint="-0.499984740745262"/>
  </sheetPr>
  <dimension ref="A1:BB126"/>
  <sheetViews>
    <sheetView zoomScale="85" zoomScaleNormal="85" workbookViewId="0">
      <pane xSplit="4" ySplit="3" topLeftCell="E4" activePane="bottomRight" state="frozen"/>
      <selection activeCell="AD60" sqref="AD60"/>
      <selection pane="topRight" activeCell="AD60" sqref="AD60"/>
      <selection pane="bottomLeft" activeCell="AD60" sqref="AD60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14" width="9.140625" style="1"/>
    <col min="15" max="15" width="2.7109375" style="1" customWidth="1"/>
    <col min="16" max="16" width="9.140625" style="1"/>
    <col min="17" max="17" width="2.7109375" style="1" customWidth="1"/>
    <col min="18" max="24" width="0" style="1" hidden="1" customWidth="1" outlineLevel="1"/>
    <col min="25" max="25" width="9.140625" style="1" collapsed="1"/>
    <col min="26" max="53" width="9.140625" style="1"/>
    <col min="54" max="54" width="3.42578125" style="8" customWidth="1"/>
    <col min="55" max="16384" width="9.140625" style="1"/>
  </cols>
  <sheetData>
    <row r="1" spans="1:5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  <c r="BB1" s="160"/>
    </row>
    <row r="2" spans="1:54" s="5" customFormat="1" ht="16.5" x14ac:dyDescent="0.3">
      <c r="A2" s="6" t="s">
        <v>163</v>
      </c>
      <c r="D2" s="211">
        <f ca="1">+Ctrl!G10</f>
        <v>0.32102203236261162</v>
      </c>
      <c r="BB2" s="161"/>
    </row>
    <row r="3" spans="1:54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O3" s="8"/>
      <c r="P3" s="45" t="s">
        <v>217</v>
      </c>
      <c r="Y3" s="8" t="str">
        <f>+MONTH(Y5)/3&amp;"Q"&amp;RIGHT(YEAR(Y5),2)</f>
        <v>4Q19</v>
      </c>
      <c r="Z3" s="8" t="str">
        <f>+MONTH(Z5)/3&amp;"Q"&amp;RIGHT(YEAR(Z5),2)</f>
        <v>1Q20</v>
      </c>
      <c r="AA3" s="8" t="str">
        <f>+MONTH(AA5)/3&amp;"Q"&amp;RIGHT(YEAR(AA5),2)</f>
        <v>2Q20</v>
      </c>
      <c r="AB3" s="8" t="str">
        <f>+MONTH(AB5)/3&amp;"Q"&amp;RIGHT(YEAR(AB5),2)</f>
        <v>3Q20</v>
      </c>
      <c r="AC3" s="8" t="str">
        <f>+MONTH(AC5)/3&amp;"Q"&amp;RIGHT(YEAR(AC5),2)</f>
        <v>4Q20</v>
      </c>
      <c r="AD3" s="8" t="str">
        <f t="shared" ref="AD3:AP3" si="1">+MONTH(AD5)/3&amp;"Q"&amp;RIGHT(YEAR(AD5),2)</f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ref="AQ3:AZ3" si="2">+MONTH(AQ5)/3&amp;"Q"&amp;RIGHT(YEAR(AQ5),2)</f>
        <v>2Q24</v>
      </c>
      <c r="AR3" s="8" t="str">
        <f t="shared" si="2"/>
        <v>3Q24</v>
      </c>
      <c r="AS3" s="8" t="str">
        <f t="shared" si="2"/>
        <v>4Q24</v>
      </c>
      <c r="AT3" s="8" t="str">
        <f t="shared" si="2"/>
        <v>1Q25</v>
      </c>
      <c r="AU3" s="8" t="str">
        <f t="shared" si="2"/>
        <v>2Q25</v>
      </c>
      <c r="AV3" s="8" t="str">
        <f t="shared" si="2"/>
        <v>3Q25</v>
      </c>
      <c r="AW3" s="8" t="str">
        <f t="shared" si="2"/>
        <v>4Q25</v>
      </c>
      <c r="AX3" s="8" t="str">
        <f t="shared" si="2"/>
        <v>1Q26</v>
      </c>
      <c r="AY3" s="8" t="str">
        <f t="shared" si="2"/>
        <v>2Q26</v>
      </c>
      <c r="AZ3" s="8" t="str">
        <f t="shared" si="2"/>
        <v>3Q26</v>
      </c>
      <c r="BA3" s="8" t="str">
        <f>+MONTH(BA5)/3&amp;"Q"&amp;RIGHT(YEAR(BA5),2)</f>
        <v>4Q26</v>
      </c>
      <c r="BB3" s="8" t="s">
        <v>75</v>
      </c>
    </row>
    <row r="4" spans="1:54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3">+H5+1</f>
        <v>44197</v>
      </c>
      <c r="J4" s="7">
        <f t="shared" si="3"/>
        <v>44562</v>
      </c>
      <c r="K4" s="7">
        <f t="shared" si="3"/>
        <v>44927</v>
      </c>
      <c r="L4" s="7">
        <f t="shared" si="3"/>
        <v>45292</v>
      </c>
      <c r="M4" s="7">
        <f t="shared" si="3"/>
        <v>45658</v>
      </c>
      <c r="N4" s="7">
        <f t="shared" si="3"/>
        <v>46023</v>
      </c>
      <c r="O4" s="7"/>
      <c r="P4" s="7"/>
      <c r="Y4" s="10">
        <v>43739</v>
      </c>
      <c r="Z4" s="7">
        <f t="shared" ref="Z4:BA4" si="4">+Y5+1</f>
        <v>43831</v>
      </c>
      <c r="AA4" s="7">
        <f t="shared" si="4"/>
        <v>43922</v>
      </c>
      <c r="AB4" s="7">
        <f t="shared" si="4"/>
        <v>44013</v>
      </c>
      <c r="AC4" s="7">
        <f t="shared" si="4"/>
        <v>44105</v>
      </c>
      <c r="AD4" s="7">
        <f t="shared" si="4"/>
        <v>44197</v>
      </c>
      <c r="AE4" s="7">
        <f t="shared" si="4"/>
        <v>44287</v>
      </c>
      <c r="AF4" s="7">
        <f t="shared" si="4"/>
        <v>44378</v>
      </c>
      <c r="AG4" s="7">
        <f t="shared" si="4"/>
        <v>44470</v>
      </c>
      <c r="AH4" s="7">
        <f t="shared" si="4"/>
        <v>44562</v>
      </c>
      <c r="AI4" s="7">
        <f t="shared" si="4"/>
        <v>44652</v>
      </c>
      <c r="AJ4" s="7">
        <f t="shared" si="4"/>
        <v>44743</v>
      </c>
      <c r="AK4" s="7">
        <f t="shared" si="4"/>
        <v>44835</v>
      </c>
      <c r="AL4" s="7">
        <f t="shared" si="4"/>
        <v>44927</v>
      </c>
      <c r="AM4" s="7">
        <f t="shared" si="4"/>
        <v>45017</v>
      </c>
      <c r="AN4" s="7">
        <f t="shared" si="4"/>
        <v>45108</v>
      </c>
      <c r="AO4" s="7">
        <f t="shared" si="4"/>
        <v>45200</v>
      </c>
      <c r="AP4" s="7">
        <f t="shared" si="4"/>
        <v>45292</v>
      </c>
      <c r="AQ4" s="7">
        <f t="shared" si="4"/>
        <v>45383</v>
      </c>
      <c r="AR4" s="7">
        <f t="shared" si="4"/>
        <v>45474</v>
      </c>
      <c r="AS4" s="7">
        <f t="shared" si="4"/>
        <v>45566</v>
      </c>
      <c r="AT4" s="7">
        <f t="shared" si="4"/>
        <v>45658</v>
      </c>
      <c r="AU4" s="7">
        <f t="shared" si="4"/>
        <v>45748</v>
      </c>
      <c r="AV4" s="7">
        <f t="shared" si="4"/>
        <v>45839</v>
      </c>
      <c r="AW4" s="7">
        <f t="shared" si="4"/>
        <v>45931</v>
      </c>
      <c r="AX4" s="7">
        <f t="shared" si="4"/>
        <v>46023</v>
      </c>
      <c r="AY4" s="7">
        <f t="shared" si="4"/>
        <v>46113</v>
      </c>
      <c r="AZ4" s="7">
        <f t="shared" si="4"/>
        <v>46204</v>
      </c>
      <c r="BA4" s="7">
        <f t="shared" si="4"/>
        <v>46296</v>
      </c>
      <c r="BB4" s="8" t="s">
        <v>75</v>
      </c>
    </row>
    <row r="5" spans="1:54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5">+EOMONTH(I4,11)</f>
        <v>44561</v>
      </c>
      <c r="J5" s="7">
        <f t="shared" si="5"/>
        <v>44926</v>
      </c>
      <c r="K5" s="7">
        <f t="shared" si="5"/>
        <v>45291</v>
      </c>
      <c r="L5" s="7">
        <f t="shared" si="5"/>
        <v>45657</v>
      </c>
      <c r="M5" s="7">
        <f t="shared" si="5"/>
        <v>46022</v>
      </c>
      <c r="N5" s="7">
        <f t="shared" si="5"/>
        <v>46387</v>
      </c>
      <c r="O5" s="7"/>
      <c r="P5" s="7"/>
      <c r="Y5" s="7">
        <f t="shared" ref="Y5:BA5" si="6">+EOMONTH(Y4,2)</f>
        <v>43830</v>
      </c>
      <c r="Z5" s="7">
        <f t="shared" si="6"/>
        <v>43921</v>
      </c>
      <c r="AA5" s="7">
        <f t="shared" si="6"/>
        <v>44012</v>
      </c>
      <c r="AB5" s="7">
        <f t="shared" si="6"/>
        <v>44104</v>
      </c>
      <c r="AC5" s="7">
        <f t="shared" si="6"/>
        <v>44196</v>
      </c>
      <c r="AD5" s="7">
        <f t="shared" si="6"/>
        <v>44286</v>
      </c>
      <c r="AE5" s="7">
        <f t="shared" si="6"/>
        <v>44377</v>
      </c>
      <c r="AF5" s="7">
        <f t="shared" si="6"/>
        <v>44469</v>
      </c>
      <c r="AG5" s="7">
        <f t="shared" si="6"/>
        <v>44561</v>
      </c>
      <c r="AH5" s="7">
        <f t="shared" si="6"/>
        <v>44651</v>
      </c>
      <c r="AI5" s="7">
        <f t="shared" si="6"/>
        <v>44742</v>
      </c>
      <c r="AJ5" s="7">
        <f t="shared" si="6"/>
        <v>44834</v>
      </c>
      <c r="AK5" s="7">
        <f t="shared" si="6"/>
        <v>44926</v>
      </c>
      <c r="AL5" s="7">
        <f t="shared" si="6"/>
        <v>45016</v>
      </c>
      <c r="AM5" s="7">
        <f t="shared" si="6"/>
        <v>45107</v>
      </c>
      <c r="AN5" s="7">
        <f t="shared" si="6"/>
        <v>45199</v>
      </c>
      <c r="AO5" s="7">
        <f t="shared" si="6"/>
        <v>45291</v>
      </c>
      <c r="AP5" s="7">
        <f t="shared" si="6"/>
        <v>45382</v>
      </c>
      <c r="AQ5" s="7">
        <f t="shared" si="6"/>
        <v>45473</v>
      </c>
      <c r="AR5" s="7">
        <f t="shared" si="6"/>
        <v>45565</v>
      </c>
      <c r="AS5" s="7">
        <f t="shared" si="6"/>
        <v>45657</v>
      </c>
      <c r="AT5" s="7">
        <f t="shared" si="6"/>
        <v>45747</v>
      </c>
      <c r="AU5" s="7">
        <f t="shared" si="6"/>
        <v>45838</v>
      </c>
      <c r="AV5" s="7">
        <f t="shared" si="6"/>
        <v>45930</v>
      </c>
      <c r="AW5" s="7">
        <f t="shared" si="6"/>
        <v>46022</v>
      </c>
      <c r="AX5" s="7">
        <f t="shared" si="6"/>
        <v>46112</v>
      </c>
      <c r="AY5" s="7">
        <f t="shared" si="6"/>
        <v>46203</v>
      </c>
      <c r="AZ5" s="7">
        <f t="shared" si="6"/>
        <v>46295</v>
      </c>
      <c r="BA5" s="7">
        <f t="shared" si="6"/>
        <v>46387</v>
      </c>
      <c r="BB5" s="8" t="s">
        <v>75</v>
      </c>
    </row>
    <row r="6" spans="1:54" outlineLevel="1" x14ac:dyDescent="0.2">
      <c r="A6" s="1" t="s">
        <v>0</v>
      </c>
      <c r="Y6" s="1">
        <f t="shared" ref="Y6:BA6" si="7">+YEAR(Y5)</f>
        <v>2019</v>
      </c>
      <c r="Z6" s="1">
        <f t="shared" si="7"/>
        <v>2020</v>
      </c>
      <c r="AA6" s="1">
        <f t="shared" si="7"/>
        <v>2020</v>
      </c>
      <c r="AB6" s="1">
        <f t="shared" si="7"/>
        <v>2020</v>
      </c>
      <c r="AC6" s="1">
        <f t="shared" si="7"/>
        <v>2020</v>
      </c>
      <c r="AD6" s="1">
        <f t="shared" si="7"/>
        <v>2021</v>
      </c>
      <c r="AE6" s="1">
        <f t="shared" si="7"/>
        <v>2021</v>
      </c>
      <c r="AF6" s="1">
        <f t="shared" si="7"/>
        <v>2021</v>
      </c>
      <c r="AG6" s="1">
        <f t="shared" si="7"/>
        <v>2021</v>
      </c>
      <c r="AH6" s="1">
        <f t="shared" si="7"/>
        <v>2022</v>
      </c>
      <c r="AI6" s="1">
        <f t="shared" si="7"/>
        <v>2022</v>
      </c>
      <c r="AJ6" s="1">
        <f t="shared" si="7"/>
        <v>2022</v>
      </c>
      <c r="AK6" s="1">
        <f t="shared" si="7"/>
        <v>2022</v>
      </c>
      <c r="AL6" s="1">
        <f t="shared" si="7"/>
        <v>2023</v>
      </c>
      <c r="AM6" s="1">
        <f t="shared" si="7"/>
        <v>2023</v>
      </c>
      <c r="AN6" s="1">
        <f t="shared" si="7"/>
        <v>2023</v>
      </c>
      <c r="AO6" s="1">
        <f t="shared" si="7"/>
        <v>2023</v>
      </c>
      <c r="AP6" s="1">
        <f t="shared" si="7"/>
        <v>2024</v>
      </c>
      <c r="AQ6" s="1">
        <f t="shared" si="7"/>
        <v>2024</v>
      </c>
      <c r="AR6" s="1">
        <f t="shared" si="7"/>
        <v>2024</v>
      </c>
      <c r="AS6" s="1">
        <f t="shared" si="7"/>
        <v>2024</v>
      </c>
      <c r="AT6" s="1">
        <f t="shared" si="7"/>
        <v>2025</v>
      </c>
      <c r="AU6" s="1">
        <f t="shared" si="7"/>
        <v>2025</v>
      </c>
      <c r="AV6" s="1">
        <f t="shared" si="7"/>
        <v>2025</v>
      </c>
      <c r="AW6" s="1">
        <f t="shared" si="7"/>
        <v>2025</v>
      </c>
      <c r="AX6" s="1">
        <f t="shared" si="7"/>
        <v>2026</v>
      </c>
      <c r="AY6" s="1">
        <f t="shared" si="7"/>
        <v>2026</v>
      </c>
      <c r="AZ6" s="1">
        <f t="shared" si="7"/>
        <v>2026</v>
      </c>
      <c r="BA6" s="1">
        <f t="shared" si="7"/>
        <v>2026</v>
      </c>
      <c r="BB6" s="8" t="s">
        <v>75</v>
      </c>
    </row>
    <row r="7" spans="1:54" s="3" customFormat="1" x14ac:dyDescent="0.2">
      <c r="A7" s="17" t="s">
        <v>75</v>
      </c>
      <c r="B7" s="3" t="s">
        <v>192</v>
      </c>
      <c r="BB7" s="87" t="s">
        <v>75</v>
      </c>
    </row>
    <row r="8" spans="1:54" x14ac:dyDescent="0.2">
      <c r="B8" s="1" t="s">
        <v>198</v>
      </c>
      <c r="Y8" s="1">
        <f>+IF(OR(MONTH(Y5)=12,MONTH(Y5)=6),1,0)</f>
        <v>1</v>
      </c>
      <c r="Z8" s="1">
        <f t="shared" ref="Z8:BA8" si="8">+IF(OR(MONTH(Z5)=12,MONTH(Z5)=6),1,0)</f>
        <v>0</v>
      </c>
      <c r="AA8" s="1">
        <f t="shared" si="8"/>
        <v>1</v>
      </c>
      <c r="AB8" s="1">
        <f t="shared" si="8"/>
        <v>0</v>
      </c>
      <c r="AC8" s="1">
        <f t="shared" si="8"/>
        <v>1</v>
      </c>
      <c r="AD8" s="1">
        <f t="shared" si="8"/>
        <v>0</v>
      </c>
      <c r="AE8" s="1">
        <f t="shared" si="8"/>
        <v>1</v>
      </c>
      <c r="AF8" s="1">
        <f t="shared" si="8"/>
        <v>0</v>
      </c>
      <c r="AG8" s="1">
        <f t="shared" si="8"/>
        <v>1</v>
      </c>
      <c r="AH8" s="1">
        <f t="shared" si="8"/>
        <v>0</v>
      </c>
      <c r="AI8" s="1">
        <f t="shared" si="8"/>
        <v>1</v>
      </c>
      <c r="AJ8" s="1">
        <f t="shared" si="8"/>
        <v>0</v>
      </c>
      <c r="AK8" s="1">
        <f t="shared" si="8"/>
        <v>1</v>
      </c>
      <c r="AL8" s="1">
        <f t="shared" si="8"/>
        <v>0</v>
      </c>
      <c r="AM8" s="1">
        <f t="shared" si="8"/>
        <v>1</v>
      </c>
      <c r="AN8" s="1">
        <f t="shared" si="8"/>
        <v>0</v>
      </c>
      <c r="AO8" s="1">
        <f t="shared" si="8"/>
        <v>1</v>
      </c>
      <c r="AP8" s="1">
        <f t="shared" si="8"/>
        <v>0</v>
      </c>
      <c r="AQ8" s="1">
        <f t="shared" si="8"/>
        <v>1</v>
      </c>
      <c r="AR8" s="1">
        <f t="shared" si="8"/>
        <v>0</v>
      </c>
      <c r="AS8" s="1">
        <f t="shared" si="8"/>
        <v>1</v>
      </c>
      <c r="AT8" s="1">
        <f t="shared" si="8"/>
        <v>0</v>
      </c>
      <c r="AU8" s="1">
        <f t="shared" si="8"/>
        <v>1</v>
      </c>
      <c r="AV8" s="1">
        <f t="shared" si="8"/>
        <v>0</v>
      </c>
      <c r="AW8" s="1">
        <f t="shared" si="8"/>
        <v>1</v>
      </c>
      <c r="AX8" s="1">
        <f t="shared" si="8"/>
        <v>0</v>
      </c>
      <c r="AY8" s="1">
        <f t="shared" si="8"/>
        <v>1</v>
      </c>
      <c r="AZ8" s="1">
        <f t="shared" si="8"/>
        <v>0</v>
      </c>
      <c r="BA8" s="1">
        <f t="shared" si="8"/>
        <v>1</v>
      </c>
      <c r="BB8" s="8" t="s">
        <v>75</v>
      </c>
    </row>
    <row r="9" spans="1:54" x14ac:dyDescent="0.2">
      <c r="B9" s="1" t="s">
        <v>636</v>
      </c>
      <c r="D9" s="47" t="str">
        <f ca="1">+Financing!$D$32</f>
        <v>1Q22</v>
      </c>
      <c r="Y9" s="1">
        <f ca="1">+IF(AND(Financing!$D$29=1,Debt!Y3=Debt!$D9),1,0)</f>
        <v>0</v>
      </c>
      <c r="Z9" s="1">
        <f ca="1">+IF(AND(Financing!$D$29=1,Debt!Z3=Debt!$D9),1,0)</f>
        <v>0</v>
      </c>
      <c r="AA9" s="1">
        <f ca="1">+IF(AND(Financing!$D$29=1,Debt!AA3=Debt!$D9),1,0)</f>
        <v>0</v>
      </c>
      <c r="AB9" s="1">
        <f ca="1">+IF(AND(Financing!$D$29=1,Debt!AB3=Debt!$D9),1,0)</f>
        <v>0</v>
      </c>
      <c r="AC9" s="1">
        <f ca="1">+IF(AND(Financing!$D$29=1,Debt!AC3=Debt!$D9),1,0)</f>
        <v>0</v>
      </c>
      <c r="AD9" s="1">
        <f ca="1">+IF(AND(Financing!$D$29=1,Debt!AD3=Debt!$D9),1,0)</f>
        <v>0</v>
      </c>
      <c r="AE9" s="1">
        <f ca="1">+IF(AND(Financing!$D$29=1,Debt!AE3=Debt!$D9),1,0)</f>
        <v>0</v>
      </c>
      <c r="AF9" s="1">
        <f ca="1">+IF(AND(Financing!$D$29=1,Debt!AF3=Debt!$D9),1,0)</f>
        <v>0</v>
      </c>
      <c r="AG9" s="1">
        <f ca="1">+IF(AND(Financing!$D$29=1,Debt!AG3=Debt!$D9),1,0)</f>
        <v>0</v>
      </c>
      <c r="AH9" s="1">
        <f ca="1">+IF(AND(Financing!$D$29=1,Debt!AH3=Debt!$D9),1,0)</f>
        <v>1</v>
      </c>
      <c r="AI9" s="1">
        <f ca="1">+IF(AND(Financing!$D$29=1,Debt!AI3=Debt!$D9),1,0)</f>
        <v>0</v>
      </c>
      <c r="AJ9" s="1">
        <f ca="1">+IF(AND(Financing!$D$29=1,Debt!AJ3=Debt!$D9),1,0)</f>
        <v>0</v>
      </c>
      <c r="AK9" s="1">
        <f ca="1">+IF(AND(Financing!$D$29=1,Debt!AK3=Debt!$D9),1,0)</f>
        <v>0</v>
      </c>
      <c r="AL9" s="1">
        <f ca="1">+IF(AND(Financing!$D$29=1,Debt!AL3=Debt!$D9),1,0)</f>
        <v>0</v>
      </c>
      <c r="AM9" s="1">
        <f ca="1">+IF(AND(Financing!$D$29=1,Debt!AM3=Debt!$D9),1,0)</f>
        <v>0</v>
      </c>
      <c r="AN9" s="1">
        <f ca="1">+IF(AND(Financing!$D$29=1,Debt!AN3=Debt!$D9),1,0)</f>
        <v>0</v>
      </c>
      <c r="AO9" s="1">
        <f ca="1">+IF(AND(Financing!$D$29=1,Debt!AO3=Debt!$D9),1,0)</f>
        <v>0</v>
      </c>
      <c r="AP9" s="1">
        <f ca="1">+IF(AND(Financing!$D$29=1,Debt!AP3=Debt!$D9),1,0)</f>
        <v>0</v>
      </c>
      <c r="AQ9" s="1">
        <f ca="1">+IF(AND(Financing!$D$29=1,Debt!AQ3=Debt!$D9),1,0)</f>
        <v>0</v>
      </c>
      <c r="AR9" s="1">
        <f ca="1">+IF(AND(Financing!$D$29=1,Debt!AR3=Debt!$D9),1,0)</f>
        <v>0</v>
      </c>
      <c r="AS9" s="1">
        <f ca="1">+IF(AND(Financing!$D$29=1,Debt!AS3=Debt!$D9),1,0)</f>
        <v>0</v>
      </c>
      <c r="AT9" s="1">
        <f ca="1">+IF(AND(Financing!$D$29=1,Debt!AT3=Debt!$D9),1,0)</f>
        <v>0</v>
      </c>
      <c r="AU9" s="1">
        <f ca="1">+IF(AND(Financing!$D$29=1,Debt!AU3=Debt!$D9),1,0)</f>
        <v>0</v>
      </c>
      <c r="AV9" s="1">
        <f ca="1">+IF(AND(Financing!$D$29=1,Debt!AV3=Debt!$D9),1,0)</f>
        <v>0</v>
      </c>
      <c r="AW9" s="1">
        <f ca="1">+IF(AND(Financing!$D$29=1,Debt!AW3=Debt!$D9),1,0)</f>
        <v>0</v>
      </c>
      <c r="AX9" s="1">
        <f ca="1">+IF(AND(Financing!$D$29=1,Debt!AX3=Debt!$D9),1,0)</f>
        <v>0</v>
      </c>
      <c r="AY9" s="1">
        <f ca="1">+IF(AND(Financing!$D$29=1,Debt!AY3=Debt!$D9),1,0)</f>
        <v>0</v>
      </c>
      <c r="AZ9" s="1">
        <f ca="1">+IF(AND(Financing!$D$29=1,Debt!AZ3=Debt!$D9),1,0)</f>
        <v>0</v>
      </c>
      <c r="BA9" s="1">
        <f ca="1">+IF(AND(Financing!$D$29=1,Debt!BA3=Debt!$D9),1,0)</f>
        <v>0</v>
      </c>
      <c r="BB9" s="8" t="s">
        <v>75</v>
      </c>
    </row>
    <row r="10" spans="1:54" x14ac:dyDescent="0.2">
      <c r="Y10" s="67"/>
      <c r="Z10" s="67"/>
      <c r="AA10" s="67"/>
      <c r="AB10" s="67"/>
      <c r="AC10" s="67"/>
      <c r="BB10" s="8" t="s">
        <v>75</v>
      </c>
    </row>
    <row r="11" spans="1:54" s="3" customFormat="1" x14ac:dyDescent="0.2">
      <c r="A11" s="17" t="s">
        <v>75</v>
      </c>
      <c r="B11" s="3" t="s">
        <v>182</v>
      </c>
      <c r="BB11" s="87" t="s">
        <v>75</v>
      </c>
    </row>
    <row r="12" spans="1:54" x14ac:dyDescent="0.2">
      <c r="B12" s="1" t="s">
        <v>183</v>
      </c>
      <c r="C12" s="8" t="s">
        <v>200</v>
      </c>
      <c r="Y12" s="63">
        <f ca="1">+FX!X8</f>
        <v>4.0304000000000002</v>
      </c>
      <c r="Z12" s="63">
        <f ca="1">+FX!Y8</f>
        <v>5.2058999999999997</v>
      </c>
      <c r="AA12" s="63">
        <f ca="1">+FX!Z8</f>
        <v>5.4676</v>
      </c>
      <c r="AB12" s="63">
        <f ca="1">+FX!AA8</f>
        <v>5.6094999999999997</v>
      </c>
      <c r="AC12" s="63">
        <f ca="1">+FX!AB8</f>
        <v>5.1966999999999999</v>
      </c>
      <c r="AD12" s="63">
        <f ca="1">+FX!AC8</f>
        <v>5.63</v>
      </c>
      <c r="AE12" s="63">
        <f ca="1">+FX!AD8</f>
        <v>5.6580099502487569</v>
      </c>
      <c r="AF12" s="63">
        <f ca="1">+FX!AE8</f>
        <v>5.6861592534838259</v>
      </c>
      <c r="AG12" s="63">
        <f ca="1">+FX!AF8</f>
        <v>5.714448603003647</v>
      </c>
      <c r="AH12" s="63">
        <f ca="1">+FX!AG8</f>
        <v>5.7428786955559046</v>
      </c>
      <c r="AI12" s="63">
        <f ca="1">+FX!AH8</f>
        <v>5.7714502313546907</v>
      </c>
      <c r="AJ12" s="63">
        <f ca="1">+FX!AI8</f>
        <v>5.8001639140977499</v>
      </c>
      <c r="AK12" s="63">
        <f ca="1">+FX!AJ8</f>
        <v>5.8290204509838093</v>
      </c>
      <c r="AL12" s="63">
        <f ca="1">+FX!AK8</f>
        <v>5.8580205527299976</v>
      </c>
      <c r="AM12" s="63">
        <f ca="1">+FX!AL8</f>
        <v>5.8871649335893519</v>
      </c>
      <c r="AN12" s="63">
        <f ca="1">+FX!AM8</f>
        <v>5.9164543113684038</v>
      </c>
      <c r="AO12" s="63">
        <f ca="1">+FX!AN8</f>
        <v>5.9458894074448638</v>
      </c>
      <c r="AP12" s="63">
        <f ca="1">+FX!AO8</f>
        <v>5.9754709467853857</v>
      </c>
      <c r="AQ12" s="63">
        <f ca="1">+FX!AP8</f>
        <v>6.0051996579634235</v>
      </c>
      <c r="AR12" s="63">
        <f ca="1">+FX!AQ8</f>
        <v>6.0350762731771725</v>
      </c>
      <c r="AS12" s="63">
        <f ca="1">+FX!AR8</f>
        <v>6.0651015282676068</v>
      </c>
      <c r="AT12" s="63">
        <f ca="1">+FX!AS8</f>
        <v>6.0952761627366012</v>
      </c>
      <c r="AU12" s="63">
        <f ca="1">+FX!AT8</f>
        <v>6.1256009197651418</v>
      </c>
      <c r="AV12" s="63">
        <f ca="1">+FX!AU8</f>
        <v>6.1560765462316356</v>
      </c>
      <c r="AW12" s="63">
        <f ca="1">+FX!AV8</f>
        <v>6.1867037927303015</v>
      </c>
      <c r="AX12" s="63">
        <f ca="1">+FX!AW8</f>
        <v>6.2174834135896573</v>
      </c>
      <c r="AY12" s="63">
        <f ca="1">+FX!AX8</f>
        <v>6.2484161668910998</v>
      </c>
      <c r="AZ12" s="63">
        <f ca="1">+FX!AY8</f>
        <v>6.2795028144875733</v>
      </c>
      <c r="BA12" s="63">
        <f ca="1">+FX!AZ8</f>
        <v>6.3107441220223386</v>
      </c>
      <c r="BB12" s="8" t="s">
        <v>75</v>
      </c>
    </row>
    <row r="13" spans="1:54" x14ac:dyDescent="0.2">
      <c r="B13" s="1" t="s">
        <v>197</v>
      </c>
      <c r="C13" s="8" t="s">
        <v>200</v>
      </c>
      <c r="Y13" s="63">
        <f ca="1">+FX!X11</f>
        <v>4.1161359375000002</v>
      </c>
      <c r="Z13" s="63">
        <f ca="1">+FX!Y11</f>
        <v>4.4725483870967748</v>
      </c>
      <c r="AA13" s="63">
        <f ca="1">+FX!Z11</f>
        <v>5.3856540983606553</v>
      </c>
      <c r="AB13" s="63">
        <f ca="1">+FX!AA11</f>
        <v>5.380169230769229</v>
      </c>
      <c r="AC13" s="63">
        <f ca="1">+FX!AB11</f>
        <v>5.3950349206349211</v>
      </c>
      <c r="AD13" s="63">
        <f ca="1">+FX!AC11</f>
        <v>5.3901184210526321</v>
      </c>
      <c r="AE13" s="63">
        <f ca="1">+FX!AD11</f>
        <v>5.6440049751243784</v>
      </c>
      <c r="AF13" s="63">
        <f ca="1">+FX!AE11</f>
        <v>5.6720846018662918</v>
      </c>
      <c r="AG13" s="63">
        <f ca="1">+FX!AF11</f>
        <v>5.700303928243736</v>
      </c>
      <c r="AH13" s="63">
        <f ca="1">+FX!AG11</f>
        <v>5.7286636492797758</v>
      </c>
      <c r="AI13" s="63">
        <f ca="1">+FX!AH11</f>
        <v>5.7571644634552976</v>
      </c>
      <c r="AJ13" s="63">
        <f ca="1">+FX!AI11</f>
        <v>5.7858070727262199</v>
      </c>
      <c r="AK13" s="63">
        <f ca="1">+FX!AJ11</f>
        <v>5.81459218254078</v>
      </c>
      <c r="AL13" s="63">
        <f ca="1">+FX!AK11</f>
        <v>5.8435205018569034</v>
      </c>
      <c r="AM13" s="63">
        <f ca="1">+FX!AL11</f>
        <v>5.8725927431596752</v>
      </c>
      <c r="AN13" s="63">
        <f ca="1">+FX!AM11</f>
        <v>5.9018096224788774</v>
      </c>
      <c r="AO13" s="63">
        <f ca="1">+FX!AN11</f>
        <v>5.9311718594066338</v>
      </c>
      <c r="AP13" s="63">
        <f ca="1">+FX!AO11</f>
        <v>5.9606801771151243</v>
      </c>
      <c r="AQ13" s="63">
        <f ca="1">+FX!AP11</f>
        <v>5.9903353023744046</v>
      </c>
      <c r="AR13" s="63">
        <f ca="1">+FX!AQ11</f>
        <v>6.0201379655702976</v>
      </c>
      <c r="AS13" s="63">
        <f ca="1">+FX!AR11</f>
        <v>6.0500889007223897</v>
      </c>
      <c r="AT13" s="63">
        <f ca="1">+FX!AS11</f>
        <v>6.0801888455021036</v>
      </c>
      <c r="AU13" s="63">
        <f ca="1">+FX!AT11</f>
        <v>6.1104385412508719</v>
      </c>
      <c r="AV13" s="63">
        <f ca="1">+FX!AU11</f>
        <v>6.1408387329983887</v>
      </c>
      <c r="AW13" s="63">
        <f ca="1">+FX!AV11</f>
        <v>6.1713901694809685</v>
      </c>
      <c r="AX13" s="63">
        <f ca="1">+FX!AW11</f>
        <v>6.2020936031599794</v>
      </c>
      <c r="AY13" s="63">
        <f ca="1">+FX!AX11</f>
        <v>6.2329497902403785</v>
      </c>
      <c r="AZ13" s="63">
        <f ca="1">+FX!AY11</f>
        <v>6.2639594906893361</v>
      </c>
      <c r="BA13" s="63">
        <f ca="1">+FX!AZ11</f>
        <v>6.2951234682549559</v>
      </c>
      <c r="BB13" s="8" t="s">
        <v>75</v>
      </c>
    </row>
    <row r="14" spans="1:54" x14ac:dyDescent="0.2">
      <c r="B14" s="1" t="s">
        <v>191</v>
      </c>
      <c r="C14" s="8" t="s">
        <v>200</v>
      </c>
      <c r="Y14" s="67">
        <f t="shared" ref="Y14:AD14" si="9">+(Y73+Y105)/(Y67+Y99)</f>
        <v>4.0768245482350514</v>
      </c>
      <c r="Z14" s="67">
        <f t="shared" si="9"/>
        <v>5.1465172016020642</v>
      </c>
      <c r="AA14" s="67">
        <f t="shared" si="9"/>
        <v>5.415047572824025</v>
      </c>
      <c r="AB14" s="67">
        <f t="shared" si="9"/>
        <v>5.4758668366160554</v>
      </c>
      <c r="AC14" s="67">
        <f t="shared" si="9"/>
        <v>5.1158186966482759</v>
      </c>
      <c r="AD14" s="67">
        <f t="shared" ca="1" si="9"/>
        <v>5.629999999999999</v>
      </c>
      <c r="AE14" s="67">
        <f t="shared" ref="AE14:BA14" ca="1" si="10">+(AE73+AE105)/(AE67+AE99)</f>
        <v>5.6580099502487569</v>
      </c>
      <c r="AF14" s="67">
        <f t="shared" ca="1" si="10"/>
        <v>5.6861592534838259</v>
      </c>
      <c r="AG14" s="67">
        <f t="shared" ca="1" si="10"/>
        <v>5.7144486030036479</v>
      </c>
      <c r="AH14" s="67">
        <f t="shared" ca="1" si="10"/>
        <v>5.7428786955559046</v>
      </c>
      <c r="AI14" s="67">
        <f t="shared" ca="1" si="10"/>
        <v>5.7714502313546898</v>
      </c>
      <c r="AJ14" s="67">
        <f t="shared" ca="1" si="10"/>
        <v>5.8001639140977508</v>
      </c>
      <c r="AK14" s="67">
        <f t="shared" ca="1" si="10"/>
        <v>5.8290204509838093</v>
      </c>
      <c r="AL14" s="67">
        <f t="shared" ca="1" si="10"/>
        <v>5.8580205527299976</v>
      </c>
      <c r="AM14" s="67">
        <f t="shared" ca="1" si="10"/>
        <v>5.8871649335893519</v>
      </c>
      <c r="AN14" s="67">
        <f t="shared" ca="1" si="10"/>
        <v>5.9164543113684038</v>
      </c>
      <c r="AO14" s="67">
        <f t="shared" ca="1" si="10"/>
        <v>5.9458894074448638</v>
      </c>
      <c r="AP14" s="67">
        <f t="shared" ca="1" si="10"/>
        <v>5.9754709467853848</v>
      </c>
      <c r="AQ14" s="67">
        <f t="shared" ca="1" si="10"/>
        <v>6.0051996579634235</v>
      </c>
      <c r="AR14" s="67">
        <f t="shared" ca="1" si="10"/>
        <v>6.0350762731771725</v>
      </c>
      <c r="AS14" s="67">
        <f t="shared" ca="1" si="10"/>
        <v>6.0651015282676068</v>
      </c>
      <c r="AT14" s="67">
        <f t="shared" ca="1" si="10"/>
        <v>6.0952761627366012</v>
      </c>
      <c r="AU14" s="67">
        <f t="shared" ca="1" si="10"/>
        <v>6.1256009197651409</v>
      </c>
      <c r="AV14" s="67">
        <f t="shared" ca="1" si="10"/>
        <v>6.1560765462316356</v>
      </c>
      <c r="AW14" s="67">
        <f t="shared" ca="1" si="10"/>
        <v>6.1867037927303015</v>
      </c>
      <c r="AX14" s="67">
        <f t="shared" ca="1" si="10"/>
        <v>6.2174834135896573</v>
      </c>
      <c r="AY14" s="67">
        <f t="shared" ca="1" si="10"/>
        <v>6.2484161668910998</v>
      </c>
      <c r="AZ14" s="67">
        <f t="shared" ca="1" si="10"/>
        <v>6.2795028144875733</v>
      </c>
      <c r="BA14" s="67">
        <f t="shared" ca="1" si="10"/>
        <v>6.3107441220223386</v>
      </c>
      <c r="BB14" s="8" t="s">
        <v>75</v>
      </c>
    </row>
    <row r="15" spans="1:54" x14ac:dyDescent="0.2">
      <c r="Y15" s="69"/>
      <c r="Z15" s="69"/>
      <c r="AA15" s="69"/>
      <c r="AB15" s="69"/>
      <c r="AC15" s="69"/>
      <c r="BB15" s="8" t="s">
        <v>75</v>
      </c>
    </row>
    <row r="16" spans="1:54" s="3" customFormat="1" x14ac:dyDescent="0.2">
      <c r="A16" s="17" t="s">
        <v>75</v>
      </c>
      <c r="B16" s="3" t="s">
        <v>195</v>
      </c>
      <c r="BB16" s="87" t="s">
        <v>75</v>
      </c>
    </row>
    <row r="17" spans="2:54" x14ac:dyDescent="0.2">
      <c r="B17" s="1" t="s">
        <v>148</v>
      </c>
      <c r="C17" s="45" t="s">
        <v>187</v>
      </c>
      <c r="E17" s="23"/>
      <c r="F17" s="23"/>
      <c r="G17" s="23">
        <f t="shared" ref="G17:N21" si="11">+SUMIFS(17:17,$3:$3,"4Q"&amp;RIGHT(G$3,2))</f>
        <v>172.27500000000001</v>
      </c>
      <c r="H17" s="23">
        <f t="shared" si="11"/>
        <v>185.95400000000001</v>
      </c>
      <c r="I17" s="23">
        <f t="shared" si="11"/>
        <v>185.95400000000001</v>
      </c>
      <c r="J17" s="23">
        <f t="shared" si="11"/>
        <v>185.95400000000001</v>
      </c>
      <c r="K17" s="23">
        <f t="shared" si="11"/>
        <v>185.95400000000001</v>
      </c>
      <c r="L17" s="23">
        <f t="shared" si="11"/>
        <v>185.95400000000001</v>
      </c>
      <c r="M17" s="23">
        <f t="shared" si="11"/>
        <v>185.95400000000001</v>
      </c>
      <c r="N17" s="23">
        <f t="shared" si="11"/>
        <v>185.95400000000001</v>
      </c>
      <c r="Y17" s="46">
        <f>+SUMIFS(Financials!$135:$135,Financials!$3:$3,Y$3)</f>
        <v>172.27500000000001</v>
      </c>
      <c r="Z17" s="46">
        <f>+SUMIFS(Financials!$135:$135,Financials!$3:$3,Z$3)</f>
        <v>171.72200000000001</v>
      </c>
      <c r="AA17" s="46">
        <f>+SUMIFS(Financials!$135:$135,Financials!$3:$3,AA$3)</f>
        <v>199.142</v>
      </c>
      <c r="AB17" s="46">
        <f>+SUMIFS(Financials!$135:$135,Financials!$3:$3,AB$3)</f>
        <v>113.82899999999999</v>
      </c>
      <c r="AC17" s="46">
        <f>+SUMIFS(Financials!$135:$135,Financials!$3:$3,AC$3)</f>
        <v>185.95400000000001</v>
      </c>
      <c r="AD17" s="11">
        <f>+AC17</f>
        <v>185.95400000000001</v>
      </c>
      <c r="AE17" s="11">
        <f t="shared" ref="AE17:BA17" si="12">+AD17</f>
        <v>185.95400000000001</v>
      </c>
      <c r="AF17" s="11">
        <f t="shared" si="12"/>
        <v>185.95400000000001</v>
      </c>
      <c r="AG17" s="11">
        <f t="shared" si="12"/>
        <v>185.95400000000001</v>
      </c>
      <c r="AH17" s="11">
        <f t="shared" si="12"/>
        <v>185.95400000000001</v>
      </c>
      <c r="AI17" s="11">
        <f t="shared" si="12"/>
        <v>185.95400000000001</v>
      </c>
      <c r="AJ17" s="11">
        <f t="shared" si="12"/>
        <v>185.95400000000001</v>
      </c>
      <c r="AK17" s="11">
        <f t="shared" si="12"/>
        <v>185.95400000000001</v>
      </c>
      <c r="AL17" s="11">
        <f t="shared" si="12"/>
        <v>185.95400000000001</v>
      </c>
      <c r="AM17" s="11">
        <f t="shared" si="12"/>
        <v>185.95400000000001</v>
      </c>
      <c r="AN17" s="11">
        <f t="shared" si="12"/>
        <v>185.95400000000001</v>
      </c>
      <c r="AO17" s="11">
        <f t="shared" si="12"/>
        <v>185.95400000000001</v>
      </c>
      <c r="AP17" s="11">
        <f t="shared" si="12"/>
        <v>185.95400000000001</v>
      </c>
      <c r="AQ17" s="11">
        <f t="shared" si="12"/>
        <v>185.95400000000001</v>
      </c>
      <c r="AR17" s="11">
        <f t="shared" si="12"/>
        <v>185.95400000000001</v>
      </c>
      <c r="AS17" s="11">
        <f t="shared" si="12"/>
        <v>185.95400000000001</v>
      </c>
      <c r="AT17" s="11">
        <f t="shared" si="12"/>
        <v>185.95400000000001</v>
      </c>
      <c r="AU17" s="11">
        <f t="shared" si="12"/>
        <v>185.95400000000001</v>
      </c>
      <c r="AV17" s="11">
        <f t="shared" si="12"/>
        <v>185.95400000000001</v>
      </c>
      <c r="AW17" s="11">
        <f t="shared" si="12"/>
        <v>185.95400000000001</v>
      </c>
      <c r="AX17" s="11">
        <f t="shared" si="12"/>
        <v>185.95400000000001</v>
      </c>
      <c r="AY17" s="11">
        <f t="shared" si="12"/>
        <v>185.95400000000001</v>
      </c>
      <c r="AZ17" s="11">
        <f t="shared" si="12"/>
        <v>185.95400000000001</v>
      </c>
      <c r="BA17" s="11">
        <f t="shared" si="12"/>
        <v>185.95400000000001</v>
      </c>
      <c r="BB17" s="8" t="s">
        <v>75</v>
      </c>
    </row>
    <row r="18" spans="2:54" x14ac:dyDescent="0.2">
      <c r="B18" s="1" t="s">
        <v>149</v>
      </c>
      <c r="C18" s="45" t="s">
        <v>187</v>
      </c>
      <c r="E18" s="23"/>
      <c r="F18" s="23"/>
      <c r="G18" s="23">
        <f t="shared" si="11"/>
        <v>2818.2339999999999</v>
      </c>
      <c r="H18" s="23">
        <f t="shared" si="11"/>
        <v>3537.18</v>
      </c>
      <c r="I18" s="23">
        <f t="shared" ca="1" si="11"/>
        <v>3947.7587599751191</v>
      </c>
      <c r="J18" s="23">
        <f t="shared" ca="1" si="11"/>
        <v>4005.2941945622092</v>
      </c>
      <c r="K18" s="23">
        <f t="shared" ca="1" si="11"/>
        <v>4063.476054152778</v>
      </c>
      <c r="L18" s="23">
        <f t="shared" ca="1" si="11"/>
        <v>4122.307131506167</v>
      </c>
      <c r="M18" s="23">
        <f t="shared" ca="1" si="11"/>
        <v>4181.7900715170299</v>
      </c>
      <c r="N18" s="23">
        <f t="shared" ca="1" si="11"/>
        <v>4241.9273641634645</v>
      </c>
      <c r="Y18" s="46">
        <f>+SUMIFS(Financials!$147:$147,Financials!$3:$3,Y$3)</f>
        <v>2818.2339999999999</v>
      </c>
      <c r="Z18" s="46">
        <f>+SUMIFS(Financials!$147:$147,Financials!$3:$3,Z$3)</f>
        <v>3598.9720000000002</v>
      </c>
      <c r="AA18" s="46">
        <f>+SUMIFS(Financials!$147:$147,Financials!$3:$3,AA$3)</f>
        <v>3754.0010000000002</v>
      </c>
      <c r="AB18" s="46">
        <f>+SUMIFS(Financials!$147:$147,Financials!$3:$3,AB$3)</f>
        <v>3881.7060000000001</v>
      </c>
      <c r="AC18" s="46">
        <f>+SUMIFS(Financials!$147:$147,Financials!$3:$3,AC$3)</f>
        <v>3537.18</v>
      </c>
      <c r="AD18" s="11">
        <f ca="1">+AD19-AD17</f>
        <v>3911.1372335999999</v>
      </c>
      <c r="AE18" s="11">
        <f t="shared" ref="AE18:BA18" ca="1" si="13">+AE19-AE17</f>
        <v>3919.2325405751249</v>
      </c>
      <c r="AF18" s="11">
        <f t="shared" ca="1" si="13"/>
        <v>3939.6440805779871</v>
      </c>
      <c r="AG18" s="11">
        <f t="shared" ca="1" si="13"/>
        <v>3947.7587599751191</v>
      </c>
      <c r="AH18" s="11">
        <f t="shared" ca="1" si="13"/>
        <v>3968.3122214675336</v>
      </c>
      <c r="AI18" s="11">
        <f t="shared" ca="1" si="13"/>
        <v>3976.4458542783118</v>
      </c>
      <c r="AJ18" s="11">
        <f t="shared" ca="1" si="13"/>
        <v>3997.1420376329311</v>
      </c>
      <c r="AK18" s="11">
        <f t="shared" ca="1" si="13"/>
        <v>4005.2941945622092</v>
      </c>
      <c r="AL18" s="11">
        <f t="shared" ca="1" si="13"/>
        <v>4026.1339019978418</v>
      </c>
      <c r="AM18" s="11">
        <f t="shared" ca="1" si="13"/>
        <v>4034.3041433001604</v>
      </c>
      <c r="AN18" s="11">
        <f t="shared" ca="1" si="13"/>
        <v>4055.2881788389682</v>
      </c>
      <c r="AO18" s="11">
        <f t="shared" ca="1" si="13"/>
        <v>4063.476054152778</v>
      </c>
      <c r="AP18" s="11">
        <f t="shared" ca="1" si="13"/>
        <v>4084.6052235764241</v>
      </c>
      <c r="AQ18" s="11">
        <f t="shared" ca="1" si="13"/>
        <v>4092.8102717560628</v>
      </c>
      <c r="AR18" s="11">
        <f t="shared" ca="1" si="13"/>
        <v>4114.0853825608192</v>
      </c>
      <c r="AS18" s="11">
        <f t="shared" ca="1" si="13"/>
        <v>4122.307131506167</v>
      </c>
      <c r="AT18" s="11">
        <f t="shared" ca="1" si="13"/>
        <v>4143.7289928569453</v>
      </c>
      <c r="AU18" s="11">
        <f t="shared" ca="1" si="13"/>
        <v>4151.9669593407752</v>
      </c>
      <c r="AV18" s="11">
        <f t="shared" ca="1" si="13"/>
        <v>4173.5363820240627</v>
      </c>
      <c r="AW18" s="11">
        <f t="shared" ca="1" si="13"/>
        <v>4181.7900715170299</v>
      </c>
      <c r="AX18" s="11">
        <f t="shared" ca="1" si="13"/>
        <v>4203.5078678927366</v>
      </c>
      <c r="AY18" s="11">
        <f t="shared" ca="1" si="13"/>
        <v>4211.7767743859749</v>
      </c>
      <c r="AZ18" s="11">
        <f t="shared" ca="1" si="13"/>
        <v>4233.6437583381448</v>
      </c>
      <c r="BA18" s="11">
        <f t="shared" ca="1" si="13"/>
        <v>4241.9273641634645</v>
      </c>
      <c r="BB18" s="8" t="s">
        <v>75</v>
      </c>
    </row>
    <row r="19" spans="2:54" s="2" customFormat="1" x14ac:dyDescent="0.2">
      <c r="B19" s="18" t="s">
        <v>150</v>
      </c>
      <c r="C19" s="45" t="s">
        <v>187</v>
      </c>
      <c r="D19" s="18"/>
      <c r="E19" s="24"/>
      <c r="F19" s="24"/>
      <c r="G19" s="24">
        <f t="shared" si="11"/>
        <v>2990.509</v>
      </c>
      <c r="H19" s="24">
        <f t="shared" si="11"/>
        <v>3723.134</v>
      </c>
      <c r="I19" s="24">
        <f t="shared" ca="1" si="11"/>
        <v>4133.7127599751193</v>
      </c>
      <c r="J19" s="24">
        <f t="shared" ca="1" si="11"/>
        <v>4191.2481945622094</v>
      </c>
      <c r="K19" s="24">
        <f t="shared" ca="1" si="11"/>
        <v>4249.4300541527782</v>
      </c>
      <c r="L19" s="24">
        <f t="shared" ca="1" si="11"/>
        <v>4308.2611315061667</v>
      </c>
      <c r="M19" s="24">
        <f t="shared" ca="1" si="11"/>
        <v>4367.7440715170296</v>
      </c>
      <c r="N19" s="24">
        <f t="shared" ca="1" si="11"/>
        <v>4427.8813641634642</v>
      </c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3">
        <f>+Y17+Y18</f>
        <v>2990.509</v>
      </c>
      <c r="Z19" s="13">
        <f>+Z17+Z18</f>
        <v>3770.6940000000004</v>
      </c>
      <c r="AA19" s="13">
        <f>+AA17+AA18</f>
        <v>3953.143</v>
      </c>
      <c r="AB19" s="13">
        <f>+AB17+AB18</f>
        <v>3995.5350000000003</v>
      </c>
      <c r="AC19" s="13">
        <f>+AC17+AC18</f>
        <v>3723.134</v>
      </c>
      <c r="AD19" s="114">
        <f ca="1">+AD73+AD90+AD105+AD47+AD50+AD122</f>
        <v>4097.0912336000001</v>
      </c>
      <c r="AE19" s="24">
        <f ca="1">+AE73+AE90+AE105+AE47+AE50+AE122</f>
        <v>4105.186540575125</v>
      </c>
      <c r="AF19" s="24">
        <f t="shared" ref="AF19:BA19" ca="1" si="14">+AF73+AF90+AF105+AF47+AF50+AF122</f>
        <v>4125.5980805779873</v>
      </c>
      <c r="AG19" s="24">
        <f t="shared" ca="1" si="14"/>
        <v>4133.7127599751193</v>
      </c>
      <c r="AH19" s="24">
        <f t="shared" ca="1" si="14"/>
        <v>4154.2662214675338</v>
      </c>
      <c r="AI19" s="24">
        <f t="shared" ca="1" si="14"/>
        <v>4162.399854278312</v>
      </c>
      <c r="AJ19" s="24">
        <f t="shared" ca="1" si="14"/>
        <v>4183.0960376329313</v>
      </c>
      <c r="AK19" s="24">
        <f t="shared" ca="1" si="14"/>
        <v>4191.2481945622094</v>
      </c>
      <c r="AL19" s="24">
        <f t="shared" ca="1" si="14"/>
        <v>4212.087901997842</v>
      </c>
      <c r="AM19" s="24">
        <f t="shared" ca="1" si="14"/>
        <v>4220.2581433001606</v>
      </c>
      <c r="AN19" s="24">
        <f t="shared" ca="1" si="14"/>
        <v>4241.2421788389684</v>
      </c>
      <c r="AO19" s="24">
        <f t="shared" ca="1" si="14"/>
        <v>4249.4300541527782</v>
      </c>
      <c r="AP19" s="24">
        <f t="shared" ca="1" si="14"/>
        <v>4270.5592235764243</v>
      </c>
      <c r="AQ19" s="24">
        <f t="shared" ca="1" si="14"/>
        <v>4278.764271756063</v>
      </c>
      <c r="AR19" s="24">
        <f t="shared" ca="1" si="14"/>
        <v>4300.0393825608189</v>
      </c>
      <c r="AS19" s="24">
        <f t="shared" ca="1" si="14"/>
        <v>4308.2611315061667</v>
      </c>
      <c r="AT19" s="24">
        <f t="shared" ca="1" si="14"/>
        <v>4329.682992856945</v>
      </c>
      <c r="AU19" s="24">
        <f t="shared" ca="1" si="14"/>
        <v>4337.920959340775</v>
      </c>
      <c r="AV19" s="24">
        <f t="shared" ca="1" si="14"/>
        <v>4359.4903820240625</v>
      </c>
      <c r="AW19" s="24">
        <f t="shared" ca="1" si="14"/>
        <v>4367.7440715170296</v>
      </c>
      <c r="AX19" s="24">
        <f t="shared" ca="1" si="14"/>
        <v>4389.4618678927363</v>
      </c>
      <c r="AY19" s="24">
        <f t="shared" ca="1" si="14"/>
        <v>4397.7307743859747</v>
      </c>
      <c r="AZ19" s="24">
        <f t="shared" ca="1" si="14"/>
        <v>4419.5977583381446</v>
      </c>
      <c r="BA19" s="24">
        <f t="shared" ca="1" si="14"/>
        <v>4427.8813641634642</v>
      </c>
      <c r="BB19" s="83" t="s">
        <v>75</v>
      </c>
    </row>
    <row r="20" spans="2:54" x14ac:dyDescent="0.2">
      <c r="B20" s="1" t="s">
        <v>151</v>
      </c>
      <c r="C20" s="45" t="s">
        <v>187</v>
      </c>
      <c r="E20" s="23"/>
      <c r="F20" s="23"/>
      <c r="G20" s="23">
        <f t="shared" si="11"/>
        <v>45.165999999999997</v>
      </c>
      <c r="H20" s="23">
        <f t="shared" si="11"/>
        <v>214.84800000000001</v>
      </c>
      <c r="I20" s="23">
        <f t="shared" ca="1" si="11"/>
        <v>197.97641493049252</v>
      </c>
      <c r="J20" s="23">
        <f t="shared" ca="1" si="11"/>
        <v>231.96847426055285</v>
      </c>
      <c r="K20" s="23">
        <f t="shared" ca="1" si="11"/>
        <v>327.79387802682891</v>
      </c>
      <c r="L20" s="23">
        <f t="shared" ca="1" si="11"/>
        <v>359.21969186203364</v>
      </c>
      <c r="M20" s="23">
        <f t="shared" ca="1" si="11"/>
        <v>358.20032805191227</v>
      </c>
      <c r="N20" s="23">
        <f t="shared" ca="1" si="11"/>
        <v>368.49755299445923</v>
      </c>
      <c r="Y20" s="46">
        <f>+SUMIFS(Financials!$101:$101,Financials!$3:$3,Y$3)</f>
        <v>45.165999999999997</v>
      </c>
      <c r="Z20" s="46">
        <f>+SUMIFS(Financials!$101:$101,Financials!$3:$3,Z$3)</f>
        <v>149.626</v>
      </c>
      <c r="AA20" s="46">
        <f>+SUMIFS(Financials!$101:$101,Financials!$3:$3,AA$3)</f>
        <v>21.914999999999999</v>
      </c>
      <c r="AB20" s="46">
        <f>+SUMIFS(Financials!$101:$101,Financials!$3:$3,AB$3)</f>
        <v>41.274999999999999</v>
      </c>
      <c r="AC20" s="46">
        <f>+SUMIFS(Financials!$101:$101,Financials!$3:$3,AC$3)</f>
        <v>214.84800000000001</v>
      </c>
      <c r="AD20" s="46">
        <f ca="1">+SUMIFS(Financials!$101:$101,Financials!$3:$3,AD$3)</f>
        <v>153.83910998065954</v>
      </c>
      <c r="AE20" s="46">
        <f ca="1">+SUMIFS(Financials!$101:$101,Financials!$3:$3,AE$3)</f>
        <v>119.84739276797998</v>
      </c>
      <c r="AF20" s="46">
        <f ca="1">+SUMIFS(Financials!$101:$101,Financials!$3:$3,AF$3)</f>
        <v>182.74887975407941</v>
      </c>
      <c r="AG20" s="46">
        <f ca="1">+SUMIFS(Financials!$101:$101,Financials!$3:$3,AG$3)</f>
        <v>197.97641493049252</v>
      </c>
      <c r="AH20" s="46">
        <f ca="1">+SUMIFS(Financials!$101:$101,Financials!$3:$3,AH$3)</f>
        <v>202.68836878034992</v>
      </c>
      <c r="AI20" s="46">
        <f ca="1">+SUMIFS(Financials!$101:$101,Financials!$3:$3,AI$3)</f>
        <v>272.31304460074909</v>
      </c>
      <c r="AJ20" s="46">
        <f ca="1">+SUMIFS(Financials!$101:$101,Financials!$3:$3,AJ$3)</f>
        <v>294.49154222345516</v>
      </c>
      <c r="AK20" s="46">
        <f ca="1">+SUMIFS(Financials!$101:$101,Financials!$3:$3,AK$3)</f>
        <v>231.96847426055285</v>
      </c>
      <c r="AL20" s="46">
        <f ca="1">+SUMIFS(Financials!$101:$101,Financials!$3:$3,AL$3)</f>
        <v>230.05451317227633</v>
      </c>
      <c r="AM20" s="46">
        <f ca="1">+SUMIFS(Financials!$101:$101,Financials!$3:$3,AM$3)</f>
        <v>300.71850892310397</v>
      </c>
      <c r="AN20" s="46">
        <f ca="1">+SUMIFS(Financials!$101:$101,Financials!$3:$3,AN$3)</f>
        <v>360.78598006302627</v>
      </c>
      <c r="AO20" s="46">
        <f ca="1">+SUMIFS(Financials!$101:$101,Financials!$3:$3,AO$3)</f>
        <v>327.79387802682891</v>
      </c>
      <c r="AP20" s="46">
        <f ca="1">+SUMIFS(Financials!$101:$101,Financials!$3:$3,AP$3)</f>
        <v>304.01094757012635</v>
      </c>
      <c r="AQ20" s="46">
        <f ca="1">+SUMIFS(Financials!$101:$101,Financials!$3:$3,AQ$3)</f>
        <v>361.85264920971213</v>
      </c>
      <c r="AR20" s="46">
        <f ca="1">+SUMIFS(Financials!$101:$101,Financials!$3:$3,AR$3)</f>
        <v>411.76643362842015</v>
      </c>
      <c r="AS20" s="46">
        <f ca="1">+SUMIFS(Financials!$101:$101,Financials!$3:$3,AS$3)</f>
        <v>359.21969186203364</v>
      </c>
      <c r="AT20" s="46">
        <f ca="1">+SUMIFS(Financials!$101:$101,Financials!$3:$3,AT$3)</f>
        <v>310.2990890379391</v>
      </c>
      <c r="AU20" s="46">
        <f ca="1">+SUMIFS(Financials!$101:$101,Financials!$3:$3,AU$3)</f>
        <v>355.77045274939263</v>
      </c>
      <c r="AV20" s="46">
        <f ca="1">+SUMIFS(Financials!$101:$101,Financials!$3:$3,AV$3)</f>
        <v>413.70922130917165</v>
      </c>
      <c r="AW20" s="46">
        <f ca="1">+SUMIFS(Financials!$101:$101,Financials!$3:$3,AW$3)</f>
        <v>358.20032805191227</v>
      </c>
      <c r="AX20" s="46">
        <f ca="1">+SUMIFS(Financials!$101:$101,Financials!$3:$3,AX$3)</f>
        <v>305.04219781996392</v>
      </c>
      <c r="AY20" s="46">
        <f ca="1">+SUMIFS(Financials!$101:$101,Financials!$3:$3,AY$3)</f>
        <v>357.75339363310485</v>
      </c>
      <c r="AZ20" s="46">
        <f ca="1">+SUMIFS(Financials!$101:$101,Financials!$3:$3,AZ$3)</f>
        <v>425.69006225420799</v>
      </c>
      <c r="BA20" s="46">
        <f ca="1">+SUMIFS(Financials!$101:$101,Financials!$3:$3,BA$3)</f>
        <v>368.49755299445923</v>
      </c>
      <c r="BB20" s="8" t="s">
        <v>75</v>
      </c>
    </row>
    <row r="21" spans="2:54" x14ac:dyDescent="0.2">
      <c r="B21" s="1" t="s">
        <v>416</v>
      </c>
      <c r="C21" s="45" t="s">
        <v>187</v>
      </c>
      <c r="E21" s="23"/>
      <c r="F21" s="23"/>
      <c r="G21" s="23">
        <f t="shared" si="11"/>
        <v>913.97199999999998</v>
      </c>
      <c r="H21" s="23">
        <f t="shared" si="11"/>
        <v>816.04399999999998</v>
      </c>
      <c r="I21" s="23">
        <f t="shared" si="11"/>
        <v>816.04399999999998</v>
      </c>
      <c r="J21" s="23">
        <f t="shared" si="11"/>
        <v>816.04399999999998</v>
      </c>
      <c r="K21" s="23">
        <f t="shared" si="11"/>
        <v>816.04399999999998</v>
      </c>
      <c r="L21" s="23">
        <f t="shared" si="11"/>
        <v>816.04399999999998</v>
      </c>
      <c r="M21" s="23">
        <f t="shared" si="11"/>
        <v>816.04399999999998</v>
      </c>
      <c r="N21" s="23">
        <f t="shared" si="11"/>
        <v>816.04399999999998</v>
      </c>
      <c r="Y21" s="46">
        <f>+SUMIFS(Financials!$102:$102,Financials!$3:$3,Y$3)</f>
        <v>913.97199999999998</v>
      </c>
      <c r="Z21" s="46">
        <f>+SUMIFS(Financials!$102:$102,Financials!$3:$3,Z$3)</f>
        <v>931.71</v>
      </c>
      <c r="AA21" s="46">
        <f>+SUMIFS(Financials!$102:$102,Financials!$3:$3,AA$3)</f>
        <v>1090.2280000000001</v>
      </c>
      <c r="AB21" s="46">
        <f>+SUMIFS(Financials!$102:$102,Financials!$3:$3,AB$3)</f>
        <v>1105.5530000000001</v>
      </c>
      <c r="AC21" s="46">
        <f>+SUMIFS(Financials!$102:$102,Financials!$3:$3,AC$3)</f>
        <v>816.04399999999998</v>
      </c>
      <c r="AD21" s="46">
        <f>+SUMIFS(Financials!$102:$102,Financials!$3:$3,AD$3)</f>
        <v>816.04399999999998</v>
      </c>
      <c r="AE21" s="46">
        <f>+SUMIFS(Financials!$102:$102,Financials!$3:$3,AE$3)</f>
        <v>816.04399999999998</v>
      </c>
      <c r="AF21" s="46">
        <f>+SUMIFS(Financials!$102:$102,Financials!$3:$3,AF$3)</f>
        <v>816.04399999999998</v>
      </c>
      <c r="AG21" s="46">
        <f>+SUMIFS(Financials!$102:$102,Financials!$3:$3,AG$3)</f>
        <v>816.04399999999998</v>
      </c>
      <c r="AH21" s="46">
        <f>+SUMIFS(Financials!$102:$102,Financials!$3:$3,AH$3)</f>
        <v>816.04399999999998</v>
      </c>
      <c r="AI21" s="46">
        <f>+SUMIFS(Financials!$102:$102,Financials!$3:$3,AI$3)</f>
        <v>816.04399999999998</v>
      </c>
      <c r="AJ21" s="46">
        <f>+SUMIFS(Financials!$102:$102,Financials!$3:$3,AJ$3)</f>
        <v>816.04399999999998</v>
      </c>
      <c r="AK21" s="46">
        <f>+SUMIFS(Financials!$102:$102,Financials!$3:$3,AK$3)</f>
        <v>816.04399999999998</v>
      </c>
      <c r="AL21" s="46">
        <f>+SUMIFS(Financials!$102:$102,Financials!$3:$3,AL$3)</f>
        <v>816.04399999999998</v>
      </c>
      <c r="AM21" s="46">
        <f>+SUMIFS(Financials!$102:$102,Financials!$3:$3,AM$3)</f>
        <v>816.04399999999998</v>
      </c>
      <c r="AN21" s="46">
        <f>+SUMIFS(Financials!$102:$102,Financials!$3:$3,AN$3)</f>
        <v>816.04399999999998</v>
      </c>
      <c r="AO21" s="46">
        <f>+SUMIFS(Financials!$102:$102,Financials!$3:$3,AO$3)</f>
        <v>816.04399999999998</v>
      </c>
      <c r="AP21" s="46">
        <f>+SUMIFS(Financials!$102:$102,Financials!$3:$3,AP$3)</f>
        <v>816.04399999999998</v>
      </c>
      <c r="AQ21" s="46">
        <f>+SUMIFS(Financials!$102:$102,Financials!$3:$3,AQ$3)</f>
        <v>816.04399999999998</v>
      </c>
      <c r="AR21" s="46">
        <f>+SUMIFS(Financials!$102:$102,Financials!$3:$3,AR$3)</f>
        <v>816.04399999999998</v>
      </c>
      <c r="AS21" s="46">
        <f>+SUMIFS(Financials!$102:$102,Financials!$3:$3,AS$3)</f>
        <v>816.04399999999998</v>
      </c>
      <c r="AT21" s="46">
        <f>+SUMIFS(Financials!$102:$102,Financials!$3:$3,AT$3)</f>
        <v>816.04399999999998</v>
      </c>
      <c r="AU21" s="46">
        <f>+SUMIFS(Financials!$102:$102,Financials!$3:$3,AU$3)</f>
        <v>816.04399999999998</v>
      </c>
      <c r="AV21" s="46">
        <f>+SUMIFS(Financials!$102:$102,Financials!$3:$3,AV$3)</f>
        <v>816.04399999999998</v>
      </c>
      <c r="AW21" s="46">
        <f>+SUMIFS(Financials!$102:$102,Financials!$3:$3,AW$3)</f>
        <v>816.04399999999998</v>
      </c>
      <c r="AX21" s="46">
        <f>+SUMIFS(Financials!$102:$102,Financials!$3:$3,AX$3)</f>
        <v>816.04399999999998</v>
      </c>
      <c r="AY21" s="46">
        <f>+SUMIFS(Financials!$102:$102,Financials!$3:$3,AY$3)</f>
        <v>816.04399999999998</v>
      </c>
      <c r="AZ21" s="46">
        <f>+SUMIFS(Financials!$102:$102,Financials!$3:$3,AZ$3)</f>
        <v>816.04399999999998</v>
      </c>
      <c r="BA21" s="46">
        <f>+SUMIFS(Financials!$102:$102,Financials!$3:$3,BA$3)</f>
        <v>816.04399999999998</v>
      </c>
      <c r="BB21" s="8" t="s">
        <v>75</v>
      </c>
    </row>
    <row r="22" spans="2:54" x14ac:dyDescent="0.2">
      <c r="B22" s="18" t="s">
        <v>152</v>
      </c>
      <c r="C22" s="45" t="s">
        <v>187</v>
      </c>
      <c r="D22" s="18"/>
      <c r="E22" s="23"/>
      <c r="F22" s="23"/>
      <c r="G22" s="23">
        <f t="shared" ref="G22:N22" si="15">+SUMIFS(22:22,$3:$3,"4Q"&amp;RIGHT(G$3,2))</f>
        <v>2031.3709999999999</v>
      </c>
      <c r="H22" s="23">
        <f t="shared" si="15"/>
        <v>2692.2420000000002</v>
      </c>
      <c r="I22" s="23">
        <f t="shared" ca="1" si="15"/>
        <v>3119.692345044627</v>
      </c>
      <c r="J22" s="23">
        <f t="shared" ca="1" si="15"/>
        <v>3143.2357203016568</v>
      </c>
      <c r="K22" s="23">
        <f t="shared" ca="1" si="15"/>
        <v>3105.5921761259497</v>
      </c>
      <c r="L22" s="23">
        <f t="shared" ca="1" si="15"/>
        <v>3132.997439644133</v>
      </c>
      <c r="M22" s="23">
        <f t="shared" ca="1" si="15"/>
        <v>3193.4997434651177</v>
      </c>
      <c r="N22" s="23">
        <f t="shared" ca="1" si="15"/>
        <v>3243.3398111690053</v>
      </c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3">
        <f>+Y19-Y20-Y21</f>
        <v>2031.3709999999999</v>
      </c>
      <c r="Z22" s="13">
        <f t="shared" ref="Z22:BA22" si="16">+Z19-Z20-Z21</f>
        <v>2689.3580000000002</v>
      </c>
      <c r="AA22" s="13">
        <f t="shared" si="16"/>
        <v>2841</v>
      </c>
      <c r="AB22" s="13">
        <f t="shared" si="16"/>
        <v>2848.7070000000003</v>
      </c>
      <c r="AC22" s="13">
        <f t="shared" si="16"/>
        <v>2692.2420000000002</v>
      </c>
      <c r="AD22" s="13">
        <f t="shared" ca="1" si="16"/>
        <v>3127.2081236193408</v>
      </c>
      <c r="AE22" s="13">
        <f t="shared" ca="1" si="16"/>
        <v>3169.295147807145</v>
      </c>
      <c r="AF22" s="13">
        <f t="shared" ca="1" si="16"/>
        <v>3126.8052008239079</v>
      </c>
      <c r="AG22" s="13">
        <f t="shared" ca="1" si="16"/>
        <v>3119.692345044627</v>
      </c>
      <c r="AH22" s="13">
        <f t="shared" ca="1" si="16"/>
        <v>3135.5338526871842</v>
      </c>
      <c r="AI22" s="13">
        <f t="shared" ca="1" si="16"/>
        <v>3074.0428096775631</v>
      </c>
      <c r="AJ22" s="13">
        <f t="shared" ca="1" si="16"/>
        <v>3072.5604954094761</v>
      </c>
      <c r="AK22" s="13">
        <f t="shared" ca="1" si="16"/>
        <v>3143.2357203016568</v>
      </c>
      <c r="AL22" s="13">
        <f t="shared" ca="1" si="16"/>
        <v>3165.9893888255656</v>
      </c>
      <c r="AM22" s="13">
        <f t="shared" ca="1" si="16"/>
        <v>3103.4956343770568</v>
      </c>
      <c r="AN22" s="13">
        <f t="shared" ca="1" si="16"/>
        <v>3064.4121987759422</v>
      </c>
      <c r="AO22" s="13">
        <f t="shared" ca="1" si="16"/>
        <v>3105.5921761259497</v>
      </c>
      <c r="AP22" s="13">
        <f t="shared" ca="1" si="16"/>
        <v>3150.5042760062979</v>
      </c>
      <c r="AQ22" s="13">
        <f t="shared" ca="1" si="16"/>
        <v>3100.867622546351</v>
      </c>
      <c r="AR22" s="13">
        <f t="shared" ca="1" si="16"/>
        <v>3072.2289489323989</v>
      </c>
      <c r="AS22" s="13">
        <f t="shared" ca="1" si="16"/>
        <v>3132.997439644133</v>
      </c>
      <c r="AT22" s="13">
        <f t="shared" ca="1" si="16"/>
        <v>3203.3399038190059</v>
      </c>
      <c r="AU22" s="13">
        <f t="shared" ca="1" si="16"/>
        <v>3166.1065065913826</v>
      </c>
      <c r="AV22" s="13">
        <f t="shared" ca="1" si="16"/>
        <v>3129.7371607148907</v>
      </c>
      <c r="AW22" s="13">
        <f t="shared" ca="1" si="16"/>
        <v>3193.4997434651177</v>
      </c>
      <c r="AX22" s="13">
        <f t="shared" ca="1" si="16"/>
        <v>3268.3756700727727</v>
      </c>
      <c r="AY22" s="13">
        <f t="shared" ca="1" si="16"/>
        <v>3223.9333807528701</v>
      </c>
      <c r="AZ22" s="13">
        <f t="shared" ca="1" si="16"/>
        <v>3177.8636960839367</v>
      </c>
      <c r="BA22" s="13">
        <f t="shared" ca="1" si="16"/>
        <v>3243.3398111690053</v>
      </c>
      <c r="BB22" s="8" t="s">
        <v>75</v>
      </c>
    </row>
    <row r="23" spans="2:54" x14ac:dyDescent="0.2">
      <c r="B23" s="1" t="s">
        <v>411</v>
      </c>
      <c r="C23" s="45" t="s">
        <v>199</v>
      </c>
      <c r="G23" s="162">
        <f t="shared" ref="G23:N23" si="17">+G22/G32</f>
        <v>4.4063106595760022</v>
      </c>
      <c r="H23" s="162">
        <f t="shared" si="17"/>
        <v>4.2237647328746837</v>
      </c>
      <c r="I23" s="162">
        <f t="shared" ca="1" si="17"/>
        <v>3.9843998764624029</v>
      </c>
      <c r="J23" s="162">
        <f t="shared" ca="1" si="17"/>
        <v>3.3833925985607203</v>
      </c>
      <c r="K23" s="162">
        <f t="shared" ca="1" si="17"/>
        <v>3.1318252591056508</v>
      </c>
      <c r="L23" s="162">
        <f t="shared" ca="1" si="17"/>
        <v>2.8124937888795083</v>
      </c>
      <c r="M23" s="162">
        <f t="shared" ca="1" si="17"/>
        <v>2.5989455777241037</v>
      </c>
      <c r="N23" s="162">
        <f t="shared" ca="1" si="17"/>
        <v>2.401373242641009</v>
      </c>
      <c r="Y23" s="162">
        <f t="shared" ref="Y23:BA23" si="18">+Y22/Y32</f>
        <v>4.4063106595760022</v>
      </c>
      <c r="Z23" s="162">
        <f t="shared" si="18"/>
        <v>5.5627360635098144</v>
      </c>
      <c r="AA23" s="162">
        <f t="shared" si="18"/>
        <v>5.3008557833805572</v>
      </c>
      <c r="AB23" s="162">
        <f t="shared" si="18"/>
        <v>4.7476729389349055</v>
      </c>
      <c r="AC23" s="162">
        <f t="shared" si="18"/>
        <v>4.2237647328746837</v>
      </c>
      <c r="AD23" s="162">
        <f t="shared" ca="1" si="18"/>
        <v>4.5016927115551288</v>
      </c>
      <c r="AE23" s="162">
        <f t="shared" ca="1" si="18"/>
        <v>4.2037012442742823</v>
      </c>
      <c r="AF23" s="162">
        <f t="shared" ca="1" si="18"/>
        <v>3.9305233956755949</v>
      </c>
      <c r="AG23" s="162">
        <f t="shared" ca="1" si="18"/>
        <v>3.9843998764624029</v>
      </c>
      <c r="AH23" s="162">
        <f t="shared" ca="1" si="18"/>
        <v>3.8835861414277195</v>
      </c>
      <c r="AI23" s="162">
        <f t="shared" ca="1" si="18"/>
        <v>3.5800832364181967</v>
      </c>
      <c r="AJ23" s="162">
        <f t="shared" ca="1" si="18"/>
        <v>3.414072306936446</v>
      </c>
      <c r="AK23" s="162">
        <f t="shared" ca="1" si="18"/>
        <v>3.3833925985607203</v>
      </c>
      <c r="AL23" s="162">
        <f t="shared" ca="1" si="18"/>
        <v>3.3786395212057241</v>
      </c>
      <c r="AM23" s="162">
        <f t="shared" ca="1" si="18"/>
        <v>3.2219578090129448</v>
      </c>
      <c r="AN23" s="162">
        <f t="shared" ca="1" si="18"/>
        <v>3.1125821687031583</v>
      </c>
      <c r="AO23" s="162">
        <f t="shared" ca="1" si="18"/>
        <v>3.1318252591056508</v>
      </c>
      <c r="AP23" s="162">
        <f t="shared" ca="1" si="18"/>
        <v>3.1052706400524857</v>
      </c>
      <c r="AQ23" s="162">
        <f t="shared" ca="1" si="18"/>
        <v>2.9401416583631024</v>
      </c>
      <c r="AR23" s="162">
        <f t="shared" ca="1" si="18"/>
        <v>2.8124030788599841</v>
      </c>
      <c r="AS23" s="162">
        <f t="shared" ca="1" si="18"/>
        <v>2.8124937888795083</v>
      </c>
      <c r="AT23" s="162">
        <f t="shared" ca="1" si="18"/>
        <v>2.8221332103195396</v>
      </c>
      <c r="AU23" s="162">
        <f t="shared" ca="1" si="18"/>
        <v>2.6974443637927608</v>
      </c>
      <c r="AV23" s="162">
        <f t="shared" ca="1" si="18"/>
        <v>2.5852285976079239</v>
      </c>
      <c r="AW23" s="162">
        <f t="shared" ca="1" si="18"/>
        <v>2.5989455777241037</v>
      </c>
      <c r="AX23" s="162">
        <f t="shared" ca="1" si="18"/>
        <v>2.6123554749581728</v>
      </c>
      <c r="AY23" s="162">
        <f t="shared" ca="1" si="18"/>
        <v>2.4948910688686783</v>
      </c>
      <c r="AZ23" s="162">
        <f t="shared" ca="1" si="18"/>
        <v>2.3868658415718165</v>
      </c>
      <c r="BA23" s="162">
        <f t="shared" ca="1" si="18"/>
        <v>2.401373242641009</v>
      </c>
      <c r="BB23" s="8" t="s">
        <v>75</v>
      </c>
    </row>
    <row r="24" spans="2:54" hidden="1" outlineLevel="1" x14ac:dyDescent="0.2">
      <c r="B24" s="1" t="s">
        <v>154</v>
      </c>
      <c r="C24" s="45" t="s">
        <v>199</v>
      </c>
      <c r="Y24" s="43">
        <v>4.5999999999999996</v>
      </c>
      <c r="Z24" s="43">
        <v>5.8</v>
      </c>
      <c r="AA24" s="43">
        <v>5.5</v>
      </c>
      <c r="AB24" s="43">
        <v>4.9000000000000004</v>
      </c>
      <c r="AC24" s="43">
        <v>4.3</v>
      </c>
      <c r="BB24" s="8" t="s">
        <v>75</v>
      </c>
    </row>
    <row r="25" spans="2:54" collapsed="1" x14ac:dyDescent="0.2">
      <c r="B25" s="1" t="s">
        <v>482</v>
      </c>
      <c r="C25" s="45" t="s">
        <v>199</v>
      </c>
      <c r="G25" s="162">
        <f>+G22/G33</f>
        <v>6.7852382702745437</v>
      </c>
      <c r="H25" s="43">
        <v>8.6999999999999993</v>
      </c>
      <c r="I25" s="162">
        <f t="shared" ref="I25:N25" ca="1" si="19">+I22/I33</f>
        <v>5.825458393727267</v>
      </c>
      <c r="J25" s="162">
        <f t="shared" ca="1" si="19"/>
        <v>4.6625439908080581</v>
      </c>
      <c r="K25" s="162">
        <f t="shared" ca="1" si="19"/>
        <v>4.2594599358868317</v>
      </c>
      <c r="L25" s="162">
        <f t="shared" ca="1" si="19"/>
        <v>3.7140074544506985</v>
      </c>
      <c r="M25" s="162">
        <f t="shared" ca="1" si="19"/>
        <v>3.3606553143807911</v>
      </c>
      <c r="N25" s="162">
        <f t="shared" ca="1" si="19"/>
        <v>3.0489475851393557</v>
      </c>
      <c r="Y25" s="162">
        <f t="shared" ref="Y25:BA25" si="20">+Y22/Y33</f>
        <v>6.7852382702745437</v>
      </c>
      <c r="Z25" s="162">
        <f t="shared" si="20"/>
        <v>8.8834526874570638</v>
      </c>
      <c r="AA25" s="162">
        <f t="shared" si="20"/>
        <v>8.418196777500496</v>
      </c>
      <c r="AB25" s="162">
        <f t="shared" si="20"/>
        <v>7.6552162827913595</v>
      </c>
      <c r="AC25" s="162">
        <f t="shared" si="20"/>
        <v>6.5028703485242092</v>
      </c>
      <c r="AD25" s="162">
        <f t="shared" ca="1" si="20"/>
        <v>6.8420676165249539</v>
      </c>
      <c r="AE25" s="162">
        <f t="shared" ca="1" si="20"/>
        <v>6.2710021924075425</v>
      </c>
      <c r="AF25" s="162">
        <f t="shared" ca="1" si="20"/>
        <v>5.7350318285008148</v>
      </c>
      <c r="AG25" s="162">
        <f t="shared" ca="1" si="20"/>
        <v>5.825458393727267</v>
      </c>
      <c r="AH25" s="162">
        <f t="shared" ca="1" si="20"/>
        <v>5.6184728924593337</v>
      </c>
      <c r="AI25" s="162">
        <f t="shared" ca="1" si="20"/>
        <v>5.0602351509658217</v>
      </c>
      <c r="AJ25" s="162">
        <f t="shared" ca="1" si="20"/>
        <v>4.7492837420341125</v>
      </c>
      <c r="AK25" s="162">
        <f t="shared" ca="1" si="20"/>
        <v>4.6625439908080581</v>
      </c>
      <c r="AL25" s="162">
        <f t="shared" ca="1" si="20"/>
        <v>4.6539775240641363</v>
      </c>
      <c r="AM25" s="162">
        <f t="shared" ca="1" si="20"/>
        <v>4.4050148744734274</v>
      </c>
      <c r="AN25" s="162">
        <f t="shared" ca="1" si="20"/>
        <v>4.2331009725183844</v>
      </c>
      <c r="AO25" s="162">
        <f t="shared" ca="1" si="20"/>
        <v>4.2594599358868317</v>
      </c>
      <c r="AP25" s="162">
        <f t="shared" ca="1" si="20"/>
        <v>4.2002310135347249</v>
      </c>
      <c r="AQ25" s="162">
        <f t="shared" ca="1" si="20"/>
        <v>3.934066528940944</v>
      </c>
      <c r="AR25" s="162">
        <f t="shared" ca="1" si="20"/>
        <v>3.7286141467784533</v>
      </c>
      <c r="AS25" s="162">
        <f t="shared" ca="1" si="20"/>
        <v>3.7140074544506985</v>
      </c>
      <c r="AT25" s="162">
        <f t="shared" ca="1" si="20"/>
        <v>3.713350209289588</v>
      </c>
      <c r="AU25" s="162">
        <f t="shared" ca="1" si="20"/>
        <v>3.5206637216484538</v>
      </c>
      <c r="AV25" s="162">
        <f t="shared" ca="1" si="20"/>
        <v>3.3503779490355807</v>
      </c>
      <c r="AW25" s="162">
        <f t="shared" ca="1" si="20"/>
        <v>3.3606553143807911</v>
      </c>
      <c r="AX25" s="162">
        <f t="shared" ca="1" si="20"/>
        <v>3.3676302871390735</v>
      </c>
      <c r="AY25" s="162">
        <f t="shared" ca="1" si="20"/>
        <v>3.1934991652556883</v>
      </c>
      <c r="AZ25" s="162">
        <f t="shared" ca="1" si="20"/>
        <v>3.0363016136381775</v>
      </c>
      <c r="BA25" s="162">
        <f t="shared" ca="1" si="20"/>
        <v>3.0489475851393557</v>
      </c>
      <c r="BB25" s="8" t="s">
        <v>75</v>
      </c>
    </row>
    <row r="26" spans="2:54" x14ac:dyDescent="0.2">
      <c r="B26" s="1" t="s">
        <v>320</v>
      </c>
      <c r="C26" s="45" t="s">
        <v>199</v>
      </c>
      <c r="G26" s="162">
        <f>-G32/G34</f>
        <v>6.1910993519945787</v>
      </c>
      <c r="H26" s="162">
        <f t="shared" ref="H26:N26" si="21">-H32/H34</f>
        <v>2.0867888688928642</v>
      </c>
      <c r="I26" s="162">
        <f t="shared" ca="1" si="21"/>
        <v>3.6271545433884458</v>
      </c>
      <c r="J26" s="162">
        <f t="shared" ca="1" si="21"/>
        <v>4.8581680621951522</v>
      </c>
      <c r="K26" s="162">
        <f t="shared" ca="1" si="21"/>
        <v>5.1542758568278613</v>
      </c>
      <c r="L26" s="162">
        <f t="shared" ca="1" si="21"/>
        <v>5.7006365954471843</v>
      </c>
      <c r="M26" s="162">
        <f t="shared" ca="1" si="21"/>
        <v>6.1910820758391525</v>
      </c>
      <c r="N26" s="162">
        <f t="shared" ca="1" si="21"/>
        <v>6.7000729380492263</v>
      </c>
      <c r="Y26" s="162"/>
      <c r="Z26" s="162"/>
      <c r="AA26" s="162"/>
      <c r="AB26" s="162">
        <f>-AB32/SUM(Y34:AB34)</f>
        <v>1.6549918367858776</v>
      </c>
      <c r="AC26" s="162">
        <f t="shared" ref="AC26:BA26" si="22">-AC32/SUM(Z34:AC34)</f>
        <v>2.0867888688928642</v>
      </c>
      <c r="AD26" s="162">
        <f t="shared" ca="1" si="22"/>
        <v>2.9178256716240272</v>
      </c>
      <c r="AE26" s="162">
        <f t="shared" ca="1" si="22"/>
        <v>3.5913647754798723</v>
      </c>
      <c r="AF26" s="162">
        <f t="shared" ca="1" si="22"/>
        <v>4.3538813177499929</v>
      </c>
      <c r="AG26" s="162">
        <f t="shared" ca="1" si="22"/>
        <v>3.6271545433884458</v>
      </c>
      <c r="AH26" s="162">
        <f t="shared" ca="1" si="22"/>
        <v>4.0405807348547267</v>
      </c>
      <c r="AI26" s="162">
        <f t="shared" ca="1" si="22"/>
        <v>4.3592999645999324</v>
      </c>
      <c r="AJ26" s="162">
        <f t="shared" ca="1" si="22"/>
        <v>4.636466696532823</v>
      </c>
      <c r="AK26" s="162">
        <f t="shared" ca="1" si="22"/>
        <v>4.8581680621951522</v>
      </c>
      <c r="AL26" s="162">
        <f t="shared" ca="1" si="22"/>
        <v>4.9279677800214259</v>
      </c>
      <c r="AM26" s="162">
        <f t="shared" ca="1" si="22"/>
        <v>5.0458914057601945</v>
      </c>
      <c r="AN26" s="162">
        <f t="shared" ca="1" si="22"/>
        <v>5.1373576162294388</v>
      </c>
      <c r="AO26" s="162">
        <f t="shared" ca="1" si="22"/>
        <v>5.1542758568278613</v>
      </c>
      <c r="AP26" s="162">
        <f t="shared" ca="1" si="22"/>
        <v>5.253021456032732</v>
      </c>
      <c r="AQ26" s="162">
        <f t="shared" ca="1" si="22"/>
        <v>5.4394102795319021</v>
      </c>
      <c r="AR26" s="162">
        <f t="shared" ca="1" si="22"/>
        <v>5.6120513425563789</v>
      </c>
      <c r="AS26" s="162">
        <f t="shared" ca="1" si="22"/>
        <v>5.7006365954471843</v>
      </c>
      <c r="AT26" s="162">
        <f t="shared" ca="1" si="22"/>
        <v>5.7861562631090626</v>
      </c>
      <c r="AU26" s="162">
        <f t="shared" ca="1" si="22"/>
        <v>5.9600227135974393</v>
      </c>
      <c r="AV26" s="162">
        <f t="shared" ca="1" si="22"/>
        <v>6.1234269931220249</v>
      </c>
      <c r="AW26" s="162">
        <f t="shared" ca="1" si="22"/>
        <v>6.1910820758391525</v>
      </c>
      <c r="AX26" s="162">
        <f t="shared" ca="1" si="22"/>
        <v>6.2792573665220432</v>
      </c>
      <c r="AY26" s="162">
        <f t="shared" ca="1" si="22"/>
        <v>6.4603385941273803</v>
      </c>
      <c r="AZ26" s="162">
        <f t="shared" ca="1" si="22"/>
        <v>6.6304161126959507</v>
      </c>
      <c r="BA26" s="162">
        <f t="shared" ca="1" si="22"/>
        <v>6.7000729380492263</v>
      </c>
      <c r="BB26" s="8" t="s">
        <v>75</v>
      </c>
    </row>
    <row r="27" spans="2:54" x14ac:dyDescent="0.2">
      <c r="Y27" s="162"/>
      <c r="Z27" s="162"/>
      <c r="AA27" s="162"/>
      <c r="AB27" s="162"/>
      <c r="AC27" s="162"/>
      <c r="AD27" s="162"/>
      <c r="AE27" s="162"/>
      <c r="AF27" s="162"/>
      <c r="AG27" s="162"/>
      <c r="AH27" s="162"/>
      <c r="AI27" s="162"/>
      <c r="AJ27" s="162"/>
      <c r="AK27" s="162"/>
      <c r="AL27" s="162"/>
      <c r="AM27" s="162"/>
      <c r="AN27" s="162"/>
      <c r="AO27" s="162"/>
      <c r="AP27" s="162"/>
      <c r="AQ27" s="162"/>
      <c r="AR27" s="162"/>
      <c r="BB27" s="8" t="s">
        <v>75</v>
      </c>
    </row>
    <row r="28" spans="2:54" x14ac:dyDescent="0.2">
      <c r="B28" s="1" t="s">
        <v>150</v>
      </c>
      <c r="C28" s="45" t="s">
        <v>164</v>
      </c>
      <c r="G28" s="23">
        <f t="shared" ref="G28:N30" ca="1" si="23">+SUMIFS(28:28,$3:$3,"4Q"&amp;RIGHT(G$3,2))</f>
        <v>731.62603999999999</v>
      </c>
      <c r="H28" s="23">
        <f t="shared" ca="1" si="23"/>
        <v>727.76144434429557</v>
      </c>
      <c r="I28" s="23">
        <f t="shared" ca="1" si="23"/>
        <v>723.37911269380277</v>
      </c>
      <c r="J28" s="23">
        <f t="shared" ca="1" si="23"/>
        <v>719.03130719927742</v>
      </c>
      <c r="K28" s="23">
        <f t="shared" ca="1" si="23"/>
        <v>714.68366849071492</v>
      </c>
      <c r="L28" s="23">
        <f t="shared" ca="1" si="23"/>
        <v>710.33619328986708</v>
      </c>
      <c r="M28" s="23">
        <f t="shared" ca="1" si="23"/>
        <v>705.98887838292103</v>
      </c>
      <c r="N28" s="23">
        <f t="shared" ca="1" si="23"/>
        <v>701.64172061923284</v>
      </c>
      <c r="Y28" s="11">
        <f t="shared" ref="Y28:BA28" ca="1" si="24">+Y67+Y84+Y99+(Y47+Y50)/Y12+Y116</f>
        <v>731.62603999999999</v>
      </c>
      <c r="Z28" s="11">
        <f t="shared" ca="1" si="24"/>
        <v>731.62603999999999</v>
      </c>
      <c r="AA28" s="11">
        <f t="shared" ca="1" si="24"/>
        <v>729.45638000000008</v>
      </c>
      <c r="AB28" s="11">
        <f t="shared" ca="1" si="24"/>
        <v>729.45638000000008</v>
      </c>
      <c r="AC28" s="11">
        <f t="shared" ca="1" si="24"/>
        <v>727.76144434429557</v>
      </c>
      <c r="AD28" s="11">
        <f t="shared" ca="1" si="24"/>
        <v>727.72490827708714</v>
      </c>
      <c r="AE28" s="11">
        <f t="shared" ca="1" si="24"/>
        <v>725.55307902819061</v>
      </c>
      <c r="AF28" s="11">
        <f t="shared" ca="1" si="24"/>
        <v>725.55092051815006</v>
      </c>
      <c r="AG28" s="11">
        <f t="shared" ca="1" si="24"/>
        <v>723.37911269380277</v>
      </c>
      <c r="AH28" s="11">
        <f t="shared" ca="1" si="24"/>
        <v>723.37697550224937</v>
      </c>
      <c r="AI28" s="11">
        <f t="shared" ca="1" si="24"/>
        <v>721.20518889085201</v>
      </c>
      <c r="AJ28" s="11">
        <f t="shared" ca="1" si="24"/>
        <v>721.20307280723398</v>
      </c>
      <c r="AK28" s="11">
        <f t="shared" ca="1" si="24"/>
        <v>719.03130719927742</v>
      </c>
      <c r="AL28" s="11">
        <f t="shared" ca="1" si="24"/>
        <v>719.02921201512254</v>
      </c>
      <c r="AM28" s="11">
        <f t="shared" ca="1" si="24"/>
        <v>716.85746720316649</v>
      </c>
      <c r="AN28" s="11">
        <f t="shared" ca="1" si="24"/>
        <v>716.85539271206176</v>
      </c>
      <c r="AO28" s="11">
        <f t="shared" ca="1" si="24"/>
        <v>714.68366849071492</v>
      </c>
      <c r="AP28" s="11">
        <f t="shared" ca="1" si="24"/>
        <v>714.68161448828562</v>
      </c>
      <c r="AQ28" s="11">
        <f t="shared" ca="1" si="24"/>
        <v>712.50991065418521</v>
      </c>
      <c r="AR28" s="11">
        <f t="shared" ca="1" si="24"/>
        <v>712.50787693807547</v>
      </c>
      <c r="AS28" s="11">
        <f t="shared" ca="1" si="24"/>
        <v>710.33619328986708</v>
      </c>
      <c r="AT28" s="11">
        <f t="shared" ca="1" si="24"/>
        <v>710.33417965971921</v>
      </c>
      <c r="AU28" s="11">
        <f t="shared" ca="1" si="24"/>
        <v>708.16251599803741</v>
      </c>
      <c r="AV28" s="11">
        <f t="shared" ca="1" si="24"/>
        <v>708.16052225547287</v>
      </c>
      <c r="AW28" s="11">
        <f t="shared" ca="1" si="24"/>
        <v>705.98887838292103</v>
      </c>
      <c r="AX28" s="11">
        <f t="shared" ca="1" si="24"/>
        <v>705.98690433152046</v>
      </c>
      <c r="AY28" s="11">
        <f t="shared" ca="1" si="24"/>
        <v>703.81528005265147</v>
      </c>
      <c r="AZ28" s="11">
        <f t="shared" ca="1" si="24"/>
        <v>703.81332549793547</v>
      </c>
      <c r="BA28" s="11">
        <f t="shared" ca="1" si="24"/>
        <v>701.64172061923284</v>
      </c>
      <c r="BB28" s="8" t="s">
        <v>75</v>
      </c>
    </row>
    <row r="29" spans="2:54" x14ac:dyDescent="0.2">
      <c r="B29" s="1" t="s">
        <v>151</v>
      </c>
      <c r="C29" s="45" t="s">
        <v>164</v>
      </c>
      <c r="G29" s="23">
        <f t="shared" ca="1" si="23"/>
        <v>11.206331877729257</v>
      </c>
      <c r="H29" s="23">
        <f t="shared" ca="1" si="23"/>
        <v>41.343160082359965</v>
      </c>
      <c r="I29" s="23">
        <f t="shared" ca="1" si="23"/>
        <v>34.644885042177386</v>
      </c>
      <c r="J29" s="23">
        <f t="shared" ca="1" si="23"/>
        <v>39.795446972810282</v>
      </c>
      <c r="K29" s="23">
        <f t="shared" ca="1" si="23"/>
        <v>55.129494607887814</v>
      </c>
      <c r="L29" s="23">
        <f t="shared" ca="1" si="23"/>
        <v>59.227317166550158</v>
      </c>
      <c r="M29" s="23">
        <f t="shared" ca="1" si="23"/>
        <v>57.898412474962235</v>
      </c>
      <c r="N29" s="23">
        <f t="shared" ca="1" si="23"/>
        <v>58.392092258744704</v>
      </c>
      <c r="Y29" s="11">
        <f t="shared" ref="Y29:BA29" ca="1" si="25">+Y20/Y12</f>
        <v>11.206331877729257</v>
      </c>
      <c r="Z29" s="11">
        <f t="shared" ca="1" si="25"/>
        <v>28.741620084903669</v>
      </c>
      <c r="AA29" s="11">
        <f t="shared" ca="1" si="25"/>
        <v>4.0081571439022605</v>
      </c>
      <c r="AB29" s="11">
        <f t="shared" ca="1" si="25"/>
        <v>7.3580533024333725</v>
      </c>
      <c r="AC29" s="11">
        <f t="shared" ca="1" si="25"/>
        <v>41.343160082359965</v>
      </c>
      <c r="AD29" s="11">
        <f t="shared" ca="1" si="25"/>
        <v>27.324886319832956</v>
      </c>
      <c r="AE29" s="11">
        <f t="shared" ca="1" si="25"/>
        <v>21.181898551223092</v>
      </c>
      <c r="AF29" s="11">
        <f t="shared" ca="1" si="25"/>
        <v>32.139247531998308</v>
      </c>
      <c r="AG29" s="11">
        <f t="shared" ca="1" si="25"/>
        <v>34.644885042177386</v>
      </c>
      <c r="AH29" s="11">
        <f t="shared" ca="1" si="25"/>
        <v>35.293862107378168</v>
      </c>
      <c r="AI29" s="11">
        <f t="shared" ca="1" si="25"/>
        <v>47.182776197453414</v>
      </c>
      <c r="AJ29" s="11">
        <f t="shared" ca="1" si="25"/>
        <v>50.772968934148658</v>
      </c>
      <c r="AK29" s="11">
        <f t="shared" ca="1" si="25"/>
        <v>39.795446972810282</v>
      </c>
      <c r="AL29" s="11">
        <f t="shared" ca="1" si="25"/>
        <v>39.271714925114871</v>
      </c>
      <c r="AM29" s="11">
        <f t="shared" ca="1" si="25"/>
        <v>51.080360804459161</v>
      </c>
      <c r="AN29" s="11">
        <f t="shared" ca="1" si="25"/>
        <v>60.980100762340015</v>
      </c>
      <c r="AO29" s="11">
        <f t="shared" ca="1" si="25"/>
        <v>55.129494607887814</v>
      </c>
      <c r="AP29" s="11">
        <f t="shared" ca="1" si="25"/>
        <v>50.87648325588038</v>
      </c>
      <c r="AQ29" s="11">
        <f t="shared" ca="1" si="25"/>
        <v>60.256555954782229</v>
      </c>
      <c r="AR29" s="11">
        <f t="shared" ca="1" si="25"/>
        <v>68.228869858449244</v>
      </c>
      <c r="AS29" s="11">
        <f t="shared" ca="1" si="25"/>
        <v>59.227317166550158</v>
      </c>
      <c r="AT29" s="11">
        <f t="shared" ca="1" si="25"/>
        <v>50.908126351181416</v>
      </c>
      <c r="AU29" s="11">
        <f t="shared" ca="1" si="25"/>
        <v>58.079273757689236</v>
      </c>
      <c r="AV29" s="11">
        <f t="shared" ca="1" si="25"/>
        <v>67.203391348734698</v>
      </c>
      <c r="AW29" s="11">
        <f t="shared" ca="1" si="25"/>
        <v>57.898412474962235</v>
      </c>
      <c r="AX29" s="11">
        <f t="shared" ca="1" si="25"/>
        <v>49.062004275432095</v>
      </c>
      <c r="AY29" s="11">
        <f t="shared" ca="1" si="25"/>
        <v>57.255052172862086</v>
      </c>
      <c r="AZ29" s="11">
        <f t="shared" ca="1" si="25"/>
        <v>67.790408704346703</v>
      </c>
      <c r="BA29" s="11">
        <f t="shared" ca="1" si="25"/>
        <v>58.392092258744704</v>
      </c>
      <c r="BB29" s="8" t="s">
        <v>75</v>
      </c>
    </row>
    <row r="30" spans="2:54" x14ac:dyDescent="0.2">
      <c r="B30" s="18" t="s">
        <v>152</v>
      </c>
      <c r="C30" s="45" t="s">
        <v>164</v>
      </c>
      <c r="D30" s="18"/>
      <c r="E30" s="23"/>
      <c r="F30" s="23"/>
      <c r="G30" s="23">
        <f t="shared" ca="1" si="23"/>
        <v>720.41970812227078</v>
      </c>
      <c r="H30" s="23">
        <f t="shared" ca="1" si="23"/>
        <v>686.41828426193558</v>
      </c>
      <c r="I30" s="23">
        <f t="shared" ca="1" si="23"/>
        <v>688.73422765162536</v>
      </c>
      <c r="J30" s="23">
        <f t="shared" ca="1" si="23"/>
        <v>679.23586022646714</v>
      </c>
      <c r="K30" s="23">
        <f t="shared" ca="1" si="23"/>
        <v>659.55417388282706</v>
      </c>
      <c r="L30" s="23">
        <f t="shared" ca="1" si="23"/>
        <v>651.10887612331692</v>
      </c>
      <c r="M30" s="23">
        <f t="shared" ca="1" si="23"/>
        <v>648.09046590795879</v>
      </c>
      <c r="N30" s="23">
        <f t="shared" ca="1" si="23"/>
        <v>643.24962836048815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3">
        <f t="shared" ref="Y30:BA30" ca="1" si="26">+Y28-Y29</f>
        <v>720.41970812227078</v>
      </c>
      <c r="Z30" s="13">
        <f t="shared" ca="1" si="26"/>
        <v>702.88441991509637</v>
      </c>
      <c r="AA30" s="13">
        <f t="shared" ca="1" si="26"/>
        <v>725.4482228560978</v>
      </c>
      <c r="AB30" s="13">
        <f t="shared" ca="1" si="26"/>
        <v>722.09832669756668</v>
      </c>
      <c r="AC30" s="13">
        <f t="shared" ca="1" si="26"/>
        <v>686.41828426193558</v>
      </c>
      <c r="AD30" s="13">
        <f t="shared" ca="1" si="26"/>
        <v>700.40002195725424</v>
      </c>
      <c r="AE30" s="13">
        <f t="shared" ca="1" si="26"/>
        <v>704.37118047696754</v>
      </c>
      <c r="AF30" s="13">
        <f t="shared" ca="1" si="26"/>
        <v>693.41167298615176</v>
      </c>
      <c r="AG30" s="13">
        <f t="shared" ca="1" si="26"/>
        <v>688.73422765162536</v>
      </c>
      <c r="AH30" s="13">
        <f t="shared" ca="1" si="26"/>
        <v>688.08311339487125</v>
      </c>
      <c r="AI30" s="13">
        <f t="shared" ca="1" si="26"/>
        <v>674.02241269339856</v>
      </c>
      <c r="AJ30" s="13">
        <f t="shared" ca="1" si="26"/>
        <v>670.43010387308527</v>
      </c>
      <c r="AK30" s="13">
        <f t="shared" ca="1" si="26"/>
        <v>679.23586022646714</v>
      </c>
      <c r="AL30" s="13">
        <f t="shared" ca="1" si="26"/>
        <v>679.75749709000763</v>
      </c>
      <c r="AM30" s="13">
        <f t="shared" ca="1" si="26"/>
        <v>665.77710639870736</v>
      </c>
      <c r="AN30" s="13">
        <f t="shared" ca="1" si="26"/>
        <v>655.87529194972171</v>
      </c>
      <c r="AO30" s="13">
        <f t="shared" ca="1" si="26"/>
        <v>659.55417388282706</v>
      </c>
      <c r="AP30" s="13">
        <f t="shared" ca="1" si="26"/>
        <v>663.80513123240519</v>
      </c>
      <c r="AQ30" s="13">
        <f t="shared" ca="1" si="26"/>
        <v>652.25335469940296</v>
      </c>
      <c r="AR30" s="13">
        <f t="shared" ca="1" si="26"/>
        <v>644.27900707962624</v>
      </c>
      <c r="AS30" s="13">
        <f t="shared" ca="1" si="26"/>
        <v>651.10887612331692</v>
      </c>
      <c r="AT30" s="13">
        <f t="shared" ca="1" si="26"/>
        <v>659.4260533085378</v>
      </c>
      <c r="AU30" s="13">
        <f t="shared" ca="1" si="26"/>
        <v>650.08324224034823</v>
      </c>
      <c r="AV30" s="13">
        <f t="shared" ca="1" si="26"/>
        <v>640.95713090673814</v>
      </c>
      <c r="AW30" s="13">
        <f t="shared" ca="1" si="26"/>
        <v>648.09046590795879</v>
      </c>
      <c r="AX30" s="13">
        <f t="shared" ca="1" si="26"/>
        <v>656.9249000560884</v>
      </c>
      <c r="AY30" s="13">
        <f t="shared" ca="1" si="26"/>
        <v>646.56022787978941</v>
      </c>
      <c r="AZ30" s="13">
        <f t="shared" ca="1" si="26"/>
        <v>636.02291679358882</v>
      </c>
      <c r="BA30" s="13">
        <f t="shared" ca="1" si="26"/>
        <v>643.24962836048815</v>
      </c>
      <c r="BB30" s="8" t="s">
        <v>75</v>
      </c>
    </row>
    <row r="31" spans="2:54" x14ac:dyDescent="0.2">
      <c r="BB31" s="8" t="s">
        <v>75</v>
      </c>
    </row>
    <row r="32" spans="2:54" x14ac:dyDescent="0.2">
      <c r="B32" s="1" t="s">
        <v>319</v>
      </c>
      <c r="C32" s="45" t="s">
        <v>187</v>
      </c>
      <c r="E32" s="11"/>
      <c r="F32" s="11"/>
      <c r="G32" s="23">
        <f t="shared" ref="G32:N33" si="27">+SUMIFS(32:32,$3:$3,"4Q"&amp;RIGHT(G$3,2))</f>
        <v>461.01402214692433</v>
      </c>
      <c r="H32" s="23">
        <f t="shared" si="27"/>
        <v>637.40339963671863</v>
      </c>
      <c r="I32" s="23">
        <f t="shared" ca="1" si="27"/>
        <v>782.97671964955566</v>
      </c>
      <c r="J32" s="23">
        <f t="shared" ca="1" si="27"/>
        <v>929.0189148131301</v>
      </c>
      <c r="K32" s="23">
        <f t="shared" ca="1" si="27"/>
        <v>991.62370796281516</v>
      </c>
      <c r="L32" s="23">
        <f t="shared" ca="1" si="27"/>
        <v>1113.9571052678884</v>
      </c>
      <c r="M32" s="23">
        <f t="shared" ca="1" si="27"/>
        <v>1228.7674550929478</v>
      </c>
      <c r="N32" s="23">
        <f t="shared" ca="1" si="27"/>
        <v>1350.6187849424061</v>
      </c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46">
        <f>+SUMIFS(Segments!$62:$62,Segments!$3:$3,Y$3)</f>
        <v>461.01402214692433</v>
      </c>
      <c r="Z32" s="46">
        <f>+SUMIFS(Segments!$62:$62,Segments!$3:$3,Z$3)</f>
        <v>483.45957264475112</v>
      </c>
      <c r="AA32" s="46">
        <f>+SUMIFS(Segments!$62:$62,Segments!$3:$3,AA$3)</f>
        <v>535.9511965798448</v>
      </c>
      <c r="AB32" s="46">
        <f>+SUMIFS(Segments!$62:$62,Segments!$3:$3,AB$3)</f>
        <v>600.02174468216003</v>
      </c>
      <c r="AC32" s="46">
        <f>+SUMIFS(Segments!$62:$62,Segments!$3:$3,AC$3)</f>
        <v>637.40339963671863</v>
      </c>
      <c r="AD32" s="46">
        <f ca="1">+SUMIFS(Segments!$62:$62,Segments!$3:$3,AD$3)</f>
        <v>694.67383137731611</v>
      </c>
      <c r="AE32" s="46">
        <f ca="1">+SUMIFS(Segments!$62:$62,Segments!$3:$3,AE$3)</f>
        <v>753.92968330561871</v>
      </c>
      <c r="AF32" s="46">
        <f ca="1">+SUMIFS(Segments!$62:$62,Segments!$3:$3,AF$3)</f>
        <v>795.518786191186</v>
      </c>
      <c r="AG32" s="46">
        <f ca="1">+SUMIFS(Segments!$62:$62,Segments!$3:$3,AG$3)</f>
        <v>782.97671964955566</v>
      </c>
      <c r="AH32" s="46">
        <f ca="1">+SUMIFS(Segments!$62:$62,Segments!$3:$3,AH$3)</f>
        <v>807.38104898439838</v>
      </c>
      <c r="AI32" s="46">
        <f ca="1">+SUMIFS(Segments!$62:$62,Segments!$3:$3,AI$3)</f>
        <v>858.65121190676086</v>
      </c>
      <c r="AJ32" s="46">
        <f ca="1">+SUMIFS(Segments!$62:$62,Segments!$3:$3,AJ$3)</f>
        <v>899.96936771575906</v>
      </c>
      <c r="AK32" s="46">
        <f ca="1">+SUMIFS(Segments!$62:$62,Segments!$3:$3,AK$3)</f>
        <v>929.0189148131301</v>
      </c>
      <c r="AL32" s="46">
        <f ca="1">+SUMIFS(Segments!$62:$62,Segments!$3:$3,AL$3)</f>
        <v>937.06042593609664</v>
      </c>
      <c r="AM32" s="46">
        <f ca="1">+SUMIFS(Segments!$62:$62,Segments!$3:$3,AM$3)</f>
        <v>963.23285975238173</v>
      </c>
      <c r="AN32" s="46">
        <f ca="1">+SUMIFS(Segments!$62:$62,Segments!$3:$3,AN$3)</f>
        <v>984.52411299802384</v>
      </c>
      <c r="AO32" s="46">
        <f ca="1">+SUMIFS(Segments!$62:$62,Segments!$3:$3,AO$3)</f>
        <v>991.62370796281516</v>
      </c>
      <c r="AP32" s="46">
        <f ca="1">+SUMIFS(Segments!$62:$62,Segments!$3:$3,AP$3)</f>
        <v>1014.5667290220629</v>
      </c>
      <c r="AQ32" s="46">
        <f ca="1">+SUMIFS(Segments!$62:$62,Segments!$3:$3,AQ$3)</f>
        <v>1054.6660613192125</v>
      </c>
      <c r="AR32" s="46">
        <f ca="1">+SUMIFS(Segments!$62:$62,Segments!$3:$3,AR$3)</f>
        <v>1092.3857152715591</v>
      </c>
      <c r="AS32" s="46">
        <f ca="1">+SUMIFS(Segments!$62:$62,Segments!$3:$3,AS$3)</f>
        <v>1113.9571052678884</v>
      </c>
      <c r="AT32" s="46">
        <f ca="1">+SUMIFS(Segments!$62:$62,Segments!$3:$3,AT$3)</f>
        <v>1135.0774981512313</v>
      </c>
      <c r="AU32" s="46">
        <f ca="1">+SUMIFS(Segments!$62:$62,Segments!$3:$3,AU$3)</f>
        <v>1173.7430247271741</v>
      </c>
      <c r="AV32" s="46">
        <f ca="1">+SUMIFS(Segments!$62:$62,Segments!$3:$3,AV$3)</f>
        <v>1210.6229846021326</v>
      </c>
      <c r="AW32" s="46">
        <f ca="1">+SUMIFS(Segments!$62:$62,Segments!$3:$3,AW$3)</f>
        <v>1228.7674550929478</v>
      </c>
      <c r="AX32" s="46">
        <f ca="1">+SUMIFS(Segments!$62:$62,Segments!$3:$3,AX$3)</f>
        <v>1251.1221008791324</v>
      </c>
      <c r="AY32" s="46">
        <f ca="1">+SUMIFS(Segments!$62:$62,Segments!$3:$3,AY$3)</f>
        <v>1292.2140854088591</v>
      </c>
      <c r="AZ32" s="46">
        <f ca="1">+SUMIFS(Segments!$62:$62,Segments!$3:$3,AZ$3)</f>
        <v>1331.3960260084104</v>
      </c>
      <c r="BA32" s="46">
        <f ca="1">+SUMIFS(Segments!$62:$62,Segments!$3:$3,BA$3)</f>
        <v>1350.6187849424061</v>
      </c>
      <c r="BB32" s="8" t="s">
        <v>75</v>
      </c>
    </row>
    <row r="33" spans="1:54" x14ac:dyDescent="0.2">
      <c r="B33" s="1" t="s">
        <v>481</v>
      </c>
      <c r="C33" s="45" t="s">
        <v>187</v>
      </c>
      <c r="G33" s="23">
        <f t="shared" si="27"/>
        <v>299.38093830827353</v>
      </c>
      <c r="H33" s="23">
        <f t="shared" si="27"/>
        <v>414.00825415671864</v>
      </c>
      <c r="I33" s="23">
        <f t="shared" ca="1" si="27"/>
        <v>535.52735839703996</v>
      </c>
      <c r="J33" s="23">
        <f t="shared" ca="1" si="27"/>
        <v>674.14607272303886</v>
      </c>
      <c r="K33" s="23">
        <f t="shared" ca="1" si="27"/>
        <v>729.10468061002121</v>
      </c>
      <c r="L33" s="23">
        <f t="shared" ca="1" si="27"/>
        <v>843.56250709451069</v>
      </c>
      <c r="M33" s="23">
        <f t="shared" ca="1" si="27"/>
        <v>950.26101897436865</v>
      </c>
      <c r="N33" s="23">
        <f t="shared" ca="1" si="27"/>
        <v>1063.7571557402698</v>
      </c>
      <c r="Y33" s="46">
        <f>+SUMIFS(Segments!$65:$65,Segments!$3:$3,Y$3)</f>
        <v>299.38093830827353</v>
      </c>
      <c r="Z33" s="46">
        <f>+SUMIFS(Segments!$65:$65,Segments!$3:$3,Z$3)</f>
        <v>302.73792123610031</v>
      </c>
      <c r="AA33" s="46">
        <f>+SUMIFS(Segments!$65:$65,Segments!$3:$3,AA$3)</f>
        <v>337.48320157984483</v>
      </c>
      <c r="AB33" s="46">
        <f>+SUMIFS(Segments!$65:$65,Segments!$3:$3,AB$3)</f>
        <v>372.12625937216006</v>
      </c>
      <c r="AC33" s="46">
        <f>+SUMIFS(Segments!$65:$65,Segments!$3:$3,AC$3)</f>
        <v>414.00825415671864</v>
      </c>
      <c r="AD33" s="46">
        <f ca="1">+SUMIFS(Segments!$65:$65,Segments!$3:$3,AD$3)</f>
        <v>457.05600980418717</v>
      </c>
      <c r="AE33" s="46">
        <f ca="1">+SUMIFS(Segments!$65:$65,Segments!$3:$3,AE$3)</f>
        <v>505.38893952936087</v>
      </c>
      <c r="AF33" s="46">
        <f ca="1">+SUMIFS(Segments!$65:$65,Segments!$3:$3,AF$3)</f>
        <v>545.21148170179913</v>
      </c>
      <c r="AG33" s="46">
        <f ca="1">+SUMIFS(Segments!$65:$65,Segments!$3:$3,AG$3)</f>
        <v>535.52735839703996</v>
      </c>
      <c r="AH33" s="46">
        <f ca="1">+SUMIFS(Segments!$65:$65,Segments!$3:$3,AH$3)</f>
        <v>558.07581752248871</v>
      </c>
      <c r="AI33" s="46">
        <f ca="1">+SUMIFS(Segments!$65:$65,Segments!$3:$3,AI$3)</f>
        <v>607.49011023545734</v>
      </c>
      <c r="AJ33" s="46">
        <f ca="1">+SUMIFS(Segments!$65:$65,Segments!$3:$3,AJ$3)</f>
        <v>646.95239583506168</v>
      </c>
      <c r="AK33" s="46">
        <f ca="1">+SUMIFS(Segments!$65:$65,Segments!$3:$3,AK$3)</f>
        <v>674.14607272303886</v>
      </c>
      <c r="AL33" s="46">
        <f ca="1">+SUMIFS(Segments!$65:$65,Segments!$3:$3,AL$3)</f>
        <v>680.27603753032975</v>
      </c>
      <c r="AM33" s="46">
        <f ca="1">+SUMIFS(Segments!$65:$65,Segments!$3:$3,AM$3)</f>
        <v>704.53692503093907</v>
      </c>
      <c r="AN33" s="46">
        <f ca="1">+SUMIFS(Segments!$65:$65,Segments!$3:$3,AN$3)</f>
        <v>723.91663196090553</v>
      </c>
      <c r="AO33" s="46">
        <f ca="1">+SUMIFS(Segments!$65:$65,Segments!$3:$3,AO$3)</f>
        <v>729.10468061002121</v>
      </c>
      <c r="AP33" s="46">
        <f ca="1">+SUMIFS(Segments!$65:$65,Segments!$3:$3,AP$3)</f>
        <v>750.07880896412303</v>
      </c>
      <c r="AQ33" s="46">
        <f ca="1">+SUMIFS(Segments!$65:$65,Segments!$3:$3,AQ$3)</f>
        <v>788.20924855612668</v>
      </c>
      <c r="AR33" s="46">
        <f ca="1">+SUMIFS(Segments!$65:$65,Segments!$3:$3,AR$3)</f>
        <v>823.96000980332724</v>
      </c>
      <c r="AS33" s="46">
        <f ca="1">+SUMIFS(Segments!$65:$65,Segments!$3:$3,AS$3)</f>
        <v>843.56250709451069</v>
      </c>
      <c r="AT33" s="46">
        <f ca="1">+SUMIFS(Segments!$65:$65,Segments!$3:$3,AT$3)</f>
        <v>862.65494049155313</v>
      </c>
      <c r="AU33" s="46">
        <f ca="1">+SUMIFS(Segments!$65:$65,Segments!$3:$3,AU$3)</f>
        <v>899.29250758119565</v>
      </c>
      <c r="AV33" s="46">
        <f ca="1">+SUMIFS(Segments!$65:$65,Segments!$3:$3,AV$3)</f>
        <v>934.14450796985386</v>
      </c>
      <c r="AW33" s="46">
        <f ca="1">+SUMIFS(Segments!$65:$65,Segments!$3:$3,AW$3)</f>
        <v>950.26101897436865</v>
      </c>
      <c r="AX33" s="46">
        <f ca="1">+SUMIFS(Segments!$65:$65,Segments!$3:$3,AX$3)</f>
        <v>970.52686648966403</v>
      </c>
      <c r="AY33" s="46">
        <f ca="1">+SUMIFS(Segments!$65:$65,Segments!$3:$3,AY$3)</f>
        <v>1009.5300527485014</v>
      </c>
      <c r="AZ33" s="46">
        <f ca="1">+SUMIFS(Segments!$65:$65,Segments!$3:$3,AZ$3)</f>
        <v>1046.6231950771635</v>
      </c>
      <c r="BA33" s="46">
        <f ca="1">+SUMIFS(Segments!$65:$65,Segments!$3:$3,BA$3)</f>
        <v>1063.7571557402698</v>
      </c>
      <c r="BB33" s="8" t="s">
        <v>75</v>
      </c>
    </row>
    <row r="34" spans="1:54" x14ac:dyDescent="0.2">
      <c r="B34" s="1" t="s">
        <v>317</v>
      </c>
      <c r="C34" s="45" t="s">
        <v>187</v>
      </c>
      <c r="E34" s="11"/>
      <c r="F34" s="11"/>
      <c r="G34" s="23">
        <f t="shared" ref="G34:N35" si="28">+SUMIFS(34:34,$6:$6,G$3)</f>
        <v>-74.463999999999999</v>
      </c>
      <c r="H34" s="23">
        <f t="shared" si="28"/>
        <v>-305.447</v>
      </c>
      <c r="I34" s="23">
        <f t="shared" ca="1" si="28"/>
        <v>-215.86527683987455</v>
      </c>
      <c r="J34" s="23">
        <f t="shared" ca="1" si="28"/>
        <v>-191.2282372531499</v>
      </c>
      <c r="K34" s="23">
        <f t="shared" ca="1" si="28"/>
        <v>-192.38855961681071</v>
      </c>
      <c r="L34" s="23">
        <f t="shared" ca="1" si="28"/>
        <v>-195.40924712821561</v>
      </c>
      <c r="M34" s="23">
        <f t="shared" ca="1" si="28"/>
        <v>-198.47377890340729</v>
      </c>
      <c r="N34" s="23">
        <f t="shared" ca="1" si="28"/>
        <v>-201.58269879008935</v>
      </c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46">
        <f>+SUMIFS(Financials!$17:$17,Financials!$3:$3,Y$3)</f>
        <v>-74.463999999999999</v>
      </c>
      <c r="Z34" s="46">
        <f>+SUMIFS(Financials!$17:$17,Financials!$3:$3,Z$3)</f>
        <v>-132.30799999999999</v>
      </c>
      <c r="AA34" s="46">
        <f>+SUMIFS(Financials!$17:$17,Financials!$3:$3,AA$3)</f>
        <v>-78.259000000000015</v>
      </c>
      <c r="AB34" s="46">
        <f>+SUMIFS(Financials!$17:$17,Financials!$3:$3,AB$3)</f>
        <v>-77.521691406290415</v>
      </c>
      <c r="AC34" s="46">
        <f>+SUMIFS(Financials!$17:$17,Financials!$3:$3,AC$3)</f>
        <v>-17.35830859370958</v>
      </c>
      <c r="AD34" s="46">
        <f ca="1">+SUMIFS(Financials!$17:$17,Financials!$3:$3,AD$3)</f>
        <v>-64.940278735891326</v>
      </c>
      <c r="AE34" s="46">
        <f ca="1">+SUMIFS(Financials!$17:$17,Financials!$3:$3,AE$3)</f>
        <v>-50.108183127156231</v>
      </c>
      <c r="AF34" s="46">
        <f ca="1">+SUMIFS(Financials!$17:$17,Financials!$3:$3,AF$3)</f>
        <v>-50.308082827827981</v>
      </c>
      <c r="AG34" s="46">
        <f ca="1">+SUMIFS(Financials!$17:$17,Financials!$3:$3,AG$3)</f>
        <v>-50.50873214899903</v>
      </c>
      <c r="AH34" s="46">
        <f ca="1">+SUMIFS(Financials!$17:$17,Financials!$3:$3,AH$3)</f>
        <v>-48.893073100434009</v>
      </c>
      <c r="AI34" s="46">
        <f ca="1">+SUMIFS(Financials!$17:$17,Financials!$3:$3,AI$3)</f>
        <v>-47.260088496847509</v>
      </c>
      <c r="AJ34" s="46">
        <f ca="1">+SUMIFS(Financials!$17:$17,Financials!$3:$3,AJ$3)</f>
        <v>-47.444831616108324</v>
      </c>
      <c r="AK34" s="46">
        <f ca="1">+SUMIFS(Financials!$17:$17,Financials!$3:$3,AK$3)</f>
        <v>-47.630244039760044</v>
      </c>
      <c r="AL34" s="46">
        <f ca="1">+SUMIFS(Financials!$17:$17,Financials!$3:$3,AL$3)</f>
        <v>-47.816327854811504</v>
      </c>
      <c r="AM34" s="46">
        <f ca="1">+SUMIFS(Financials!$17:$17,Financials!$3:$3,AM$3)</f>
        <v>-48.003085152471364</v>
      </c>
      <c r="AN34" s="46">
        <f ca="1">+SUMIFS(Financials!$17:$17,Financials!$3:$3,AN$3)</f>
        <v>-48.190518028138044</v>
      </c>
      <c r="AO34" s="46">
        <f ca="1">+SUMIFS(Financials!$17:$17,Financials!$3:$3,AO$3)</f>
        <v>-48.378628581389833</v>
      </c>
      <c r="AP34" s="46">
        <f ca="1">+SUMIFS(Financials!$17:$17,Financials!$3:$3,AP$3)</f>
        <v>-48.567418915974471</v>
      </c>
      <c r="AQ34" s="46">
        <f ca="1">+SUMIFS(Financials!$17:$17,Financials!$3:$3,AQ$3)</f>
        <v>-48.756891139798789</v>
      </c>
      <c r="AR34" s="46">
        <f ca="1">+SUMIFS(Financials!$17:$17,Financials!$3:$3,AR$3)</f>
        <v>-48.947047364917907</v>
      </c>
      <c r="AS34" s="46">
        <f ca="1">+SUMIFS(Financials!$17:$17,Financials!$3:$3,AS$3)</f>
        <v>-49.137889707524423</v>
      </c>
      <c r="AT34" s="46">
        <f ca="1">+SUMIFS(Financials!$17:$17,Financials!$3:$3,AT$3)</f>
        <v>-49.329420287937246</v>
      </c>
      <c r="AU34" s="46">
        <f ca="1">+SUMIFS(Financials!$17:$17,Financials!$3:$3,AU$3)</f>
        <v>-49.521641230590333</v>
      </c>
      <c r="AV34" s="46">
        <f ca="1">+SUMIFS(Financials!$17:$17,Financials!$3:$3,AV$3)</f>
        <v>-49.714554664021072</v>
      </c>
      <c r="AW34" s="46">
        <f ca="1">+SUMIFS(Financials!$17:$17,Financials!$3:$3,AW$3)</f>
        <v>-49.908162720858627</v>
      </c>
      <c r="AX34" s="46">
        <f ca="1">+SUMIFS(Financials!$17:$17,Financials!$3:$3,AX$3)</f>
        <v>-50.102467537811904</v>
      </c>
      <c r="AY34" s="46">
        <f ca="1">+SUMIFS(Financials!$17:$17,Financials!$3:$3,AY$3)</f>
        <v>-50.297471255657328</v>
      </c>
      <c r="AZ34" s="46">
        <f ca="1">+SUMIFS(Financials!$17:$17,Financials!$3:$3,AZ$3)</f>
        <v>-50.493176019226524</v>
      </c>
      <c r="BA34" s="46">
        <f ca="1">+SUMIFS(Financials!$17:$17,Financials!$3:$3,BA$3)</f>
        <v>-50.68958397739361</v>
      </c>
      <c r="BB34" s="8" t="s">
        <v>75</v>
      </c>
    </row>
    <row r="35" spans="1:54" x14ac:dyDescent="0.2">
      <c r="B35" s="1" t="s">
        <v>318</v>
      </c>
      <c r="C35" s="45" t="s">
        <v>187</v>
      </c>
      <c r="E35" s="11"/>
      <c r="F35" s="11"/>
      <c r="G35" s="23">
        <f t="shared" si="28"/>
        <v>-3.6030712417397881</v>
      </c>
      <c r="H35" s="23">
        <f t="shared" si="28"/>
        <v>-194.69399999999999</v>
      </c>
      <c r="I35" s="23">
        <f t="shared" si="28"/>
        <v>0</v>
      </c>
      <c r="J35" s="23">
        <f t="shared" si="28"/>
        <v>0</v>
      </c>
      <c r="K35" s="23">
        <f t="shared" si="28"/>
        <v>0</v>
      </c>
      <c r="L35" s="23">
        <f t="shared" si="28"/>
        <v>0</v>
      </c>
      <c r="M35" s="23">
        <f t="shared" si="28"/>
        <v>0</v>
      </c>
      <c r="N35" s="23">
        <f t="shared" si="28"/>
        <v>0</v>
      </c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46">
        <f>+SUMIFS(Financials!$70:$70,Financials!$3:$3,Y$3)</f>
        <v>-3.6030712417397881</v>
      </c>
      <c r="Z35" s="46">
        <f>+SUMIFS(Financials!$70:$70,Financials!$3:$3,Z$3)</f>
        <v>-85.488</v>
      </c>
      <c r="AA35" s="46">
        <f>+SUMIFS(Financials!$70:$70,Financials!$3:$3,AA$3)</f>
        <v>-9.3059999999999992</v>
      </c>
      <c r="AB35" s="46">
        <f>+SUMIFS(Financials!$70:$70,Financials!$3:$3,AB$3)</f>
        <v>-93.509</v>
      </c>
      <c r="AC35" s="46">
        <f>+SUMIFS(Financials!$70:$70,Financials!$3:$3,AC$3)</f>
        <v>-6.391</v>
      </c>
      <c r="AD35" s="46">
        <f>+SUMIFS(Financials!$70:$70,Financials!$3:$3,AD$3)</f>
        <v>0</v>
      </c>
      <c r="AE35" s="46">
        <f>+SUMIFS(Financials!$70:$70,Financials!$3:$3,AE$3)</f>
        <v>0</v>
      </c>
      <c r="AF35" s="46">
        <f>+SUMIFS(Financials!$70:$70,Financials!$3:$3,AF$3)</f>
        <v>0</v>
      </c>
      <c r="AG35" s="46">
        <f>+SUMIFS(Financials!$70:$70,Financials!$3:$3,AG$3)</f>
        <v>0</v>
      </c>
      <c r="AH35" s="46">
        <f>+SUMIFS(Financials!$70:$70,Financials!$3:$3,AH$3)</f>
        <v>0</v>
      </c>
      <c r="AI35" s="46">
        <f>+SUMIFS(Financials!$70:$70,Financials!$3:$3,AI$3)</f>
        <v>0</v>
      </c>
      <c r="AJ35" s="46">
        <f>+SUMIFS(Financials!$70:$70,Financials!$3:$3,AJ$3)</f>
        <v>0</v>
      </c>
      <c r="AK35" s="46">
        <f>+SUMIFS(Financials!$70:$70,Financials!$3:$3,AK$3)</f>
        <v>0</v>
      </c>
      <c r="AL35" s="46">
        <f>+SUMIFS(Financials!$70:$70,Financials!$3:$3,AL$3)</f>
        <v>0</v>
      </c>
      <c r="AM35" s="46">
        <f>+SUMIFS(Financials!$70:$70,Financials!$3:$3,AM$3)</f>
        <v>0</v>
      </c>
      <c r="AN35" s="46">
        <f>+SUMIFS(Financials!$70:$70,Financials!$3:$3,AN$3)</f>
        <v>0</v>
      </c>
      <c r="AO35" s="46">
        <f>+SUMIFS(Financials!$70:$70,Financials!$3:$3,AO$3)</f>
        <v>0</v>
      </c>
      <c r="AP35" s="46">
        <f>+SUMIFS(Financials!$70:$70,Financials!$3:$3,AP$3)</f>
        <v>0</v>
      </c>
      <c r="AQ35" s="46">
        <f>+SUMIFS(Financials!$70:$70,Financials!$3:$3,AQ$3)</f>
        <v>0</v>
      </c>
      <c r="AR35" s="46">
        <f>+SUMIFS(Financials!$70:$70,Financials!$3:$3,AR$3)</f>
        <v>0</v>
      </c>
      <c r="AS35" s="46">
        <f>+SUMIFS(Financials!$70:$70,Financials!$3:$3,AS$3)</f>
        <v>0</v>
      </c>
      <c r="AT35" s="46">
        <f>+SUMIFS(Financials!$70:$70,Financials!$3:$3,AT$3)</f>
        <v>0</v>
      </c>
      <c r="AU35" s="46">
        <f>+SUMIFS(Financials!$70:$70,Financials!$3:$3,AU$3)</f>
        <v>0</v>
      </c>
      <c r="AV35" s="46">
        <f>+SUMIFS(Financials!$70:$70,Financials!$3:$3,AV$3)</f>
        <v>0</v>
      </c>
      <c r="AW35" s="46">
        <f>+SUMIFS(Financials!$70:$70,Financials!$3:$3,AW$3)</f>
        <v>0</v>
      </c>
      <c r="AX35" s="46">
        <f>+SUMIFS(Financials!$70:$70,Financials!$3:$3,AX$3)</f>
        <v>0</v>
      </c>
      <c r="AY35" s="46">
        <f>+SUMIFS(Financials!$70:$70,Financials!$3:$3,AY$3)</f>
        <v>0</v>
      </c>
      <c r="AZ35" s="46">
        <f>+SUMIFS(Financials!$70:$70,Financials!$3:$3,AZ$3)</f>
        <v>0</v>
      </c>
      <c r="BA35" s="46">
        <f>+SUMIFS(Financials!$70:$70,Financials!$3:$3,BA$3)</f>
        <v>0</v>
      </c>
      <c r="BB35" s="8" t="s">
        <v>75</v>
      </c>
    </row>
    <row r="36" spans="1:54" x14ac:dyDescent="0.2">
      <c r="Y36" s="11"/>
      <c r="Z36" s="11"/>
      <c r="AA36" s="11"/>
      <c r="AB36" s="11"/>
      <c r="AC36" s="11"/>
      <c r="BB36" s="8" t="s">
        <v>75</v>
      </c>
    </row>
    <row r="37" spans="1:54" x14ac:dyDescent="0.2">
      <c r="B37" s="1" t="s">
        <v>333</v>
      </c>
      <c r="C37" s="45" t="s">
        <v>187</v>
      </c>
      <c r="E37" s="11"/>
      <c r="F37" s="11"/>
      <c r="G37" s="23">
        <f t="shared" ref="G37:N38" ca="1" si="29">+SUMIFS(37:37,$6:$6,G$3)</f>
        <v>-41.070838630626</v>
      </c>
      <c r="H37" s="23">
        <f t="shared" ca="1" si="29"/>
        <v>-205.59971313808717</v>
      </c>
      <c r="I37" s="23">
        <f t="shared" ca="1" si="29"/>
        <v>-215.86527683987455</v>
      </c>
      <c r="J37" s="23">
        <f t="shared" ca="1" si="29"/>
        <v>-191.2282372531499</v>
      </c>
      <c r="K37" s="23">
        <f t="shared" ca="1" si="29"/>
        <v>-192.38855961681071</v>
      </c>
      <c r="L37" s="23">
        <f t="shared" ca="1" si="29"/>
        <v>-195.40924712821561</v>
      </c>
      <c r="M37" s="23">
        <f t="shared" ca="1" si="29"/>
        <v>-198.47377890340729</v>
      </c>
      <c r="N37" s="23">
        <f t="shared" ca="1" si="29"/>
        <v>-201.58269879008935</v>
      </c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>
        <f ca="1">+(Y76+Y93+Y108+Y48+Y51+Y125)</f>
        <v>-41.070838630626</v>
      </c>
      <c r="Z37" s="11">
        <f t="shared" ref="Z37:BA37" ca="1" si="30">+(Z76+Z93+Z108+Z48+Z51+Z125)</f>
        <v>-44.627125018054194</v>
      </c>
      <c r="AA37" s="11">
        <f t="shared" ca="1" si="30"/>
        <v>-53.691361249000515</v>
      </c>
      <c r="AB37" s="11">
        <f t="shared" ca="1" si="30"/>
        <v>-53.589988243837517</v>
      </c>
      <c r="AC37" s="11">
        <f t="shared" ca="1" si="30"/>
        <v>-53.69123862719492</v>
      </c>
      <c r="AD37" s="11">
        <f t="shared" ca="1" si="30"/>
        <v>-64.940278735891326</v>
      </c>
      <c r="AE37" s="11">
        <f t="shared" ca="1" si="30"/>
        <v>-50.108183127156231</v>
      </c>
      <c r="AF37" s="11">
        <f t="shared" ca="1" si="30"/>
        <v>-50.308082827827981</v>
      </c>
      <c r="AG37" s="11">
        <f t="shared" ca="1" si="30"/>
        <v>-50.50873214899903</v>
      </c>
      <c r="AH37" s="11">
        <f t="shared" ca="1" si="30"/>
        <v>-48.893073100434009</v>
      </c>
      <c r="AI37" s="11">
        <f t="shared" ca="1" si="30"/>
        <v>-47.260088496847509</v>
      </c>
      <c r="AJ37" s="11">
        <f t="shared" ca="1" si="30"/>
        <v>-47.444831616108324</v>
      </c>
      <c r="AK37" s="11">
        <f t="shared" ca="1" si="30"/>
        <v>-47.630244039760044</v>
      </c>
      <c r="AL37" s="11">
        <f t="shared" ca="1" si="30"/>
        <v>-47.816327854811504</v>
      </c>
      <c r="AM37" s="11">
        <f t="shared" ca="1" si="30"/>
        <v>-48.003085152471364</v>
      </c>
      <c r="AN37" s="11">
        <f t="shared" ca="1" si="30"/>
        <v>-48.190518028138044</v>
      </c>
      <c r="AO37" s="11">
        <f t="shared" ca="1" si="30"/>
        <v>-48.378628581389833</v>
      </c>
      <c r="AP37" s="11">
        <f t="shared" ca="1" si="30"/>
        <v>-48.567418915974471</v>
      </c>
      <c r="AQ37" s="11">
        <f t="shared" ca="1" si="30"/>
        <v>-48.756891139798789</v>
      </c>
      <c r="AR37" s="11">
        <f t="shared" ca="1" si="30"/>
        <v>-48.947047364917907</v>
      </c>
      <c r="AS37" s="11">
        <f t="shared" ca="1" si="30"/>
        <v>-49.137889707524423</v>
      </c>
      <c r="AT37" s="11">
        <f t="shared" ca="1" si="30"/>
        <v>-49.329420287937246</v>
      </c>
      <c r="AU37" s="11">
        <f t="shared" ca="1" si="30"/>
        <v>-49.521641230590333</v>
      </c>
      <c r="AV37" s="11">
        <f t="shared" ca="1" si="30"/>
        <v>-49.714554664021072</v>
      </c>
      <c r="AW37" s="11">
        <f t="shared" ca="1" si="30"/>
        <v>-49.908162720858627</v>
      </c>
      <c r="AX37" s="11">
        <f t="shared" ca="1" si="30"/>
        <v>-50.102467537811904</v>
      </c>
      <c r="AY37" s="11">
        <f t="shared" ca="1" si="30"/>
        <v>-50.297471255657328</v>
      </c>
      <c r="AZ37" s="11">
        <f t="shared" ca="1" si="30"/>
        <v>-50.493176019226524</v>
      </c>
      <c r="BA37" s="11">
        <f t="shared" ca="1" si="30"/>
        <v>-50.68958397739361</v>
      </c>
      <c r="BB37" s="8" t="s">
        <v>75</v>
      </c>
    </row>
    <row r="38" spans="1:54" x14ac:dyDescent="0.2">
      <c r="B38" s="1" t="s">
        <v>328</v>
      </c>
      <c r="C38" s="45" t="s">
        <v>187</v>
      </c>
      <c r="G38" s="23">
        <f t="shared" si="29"/>
        <v>0</v>
      </c>
      <c r="H38" s="23">
        <f t="shared" si="29"/>
        <v>0</v>
      </c>
      <c r="I38" s="23">
        <f t="shared" ca="1" si="29"/>
        <v>-24.674368424649611</v>
      </c>
      <c r="J38" s="23">
        <f t="shared" ca="1" si="29"/>
        <v>-25.169077220642549</v>
      </c>
      <c r="K38" s="23">
        <f t="shared" ca="1" si="29"/>
        <v>-25.673704681568296</v>
      </c>
      <c r="L38" s="23">
        <f t="shared" ca="1" si="29"/>
        <v>-26.188449671718015</v>
      </c>
      <c r="M38" s="23">
        <f t="shared" ca="1" si="29"/>
        <v>-26.71351504251286</v>
      </c>
      <c r="N38" s="23">
        <f t="shared" ca="1" si="29"/>
        <v>-27.24910771244393</v>
      </c>
      <c r="Y38" s="11"/>
      <c r="Z38" s="11"/>
      <c r="AA38" s="11"/>
      <c r="AB38" s="11"/>
      <c r="AC38" s="11"/>
      <c r="AD38" s="11">
        <f ca="1">+AD70+AD87+AD102+AD119</f>
        <v>0</v>
      </c>
      <c r="AE38" s="11">
        <f t="shared" ref="AE38:BA38" ca="1" si="31">+AE70+AE87+AE102+AE119</f>
        <v>-12.275957868656718</v>
      </c>
      <c r="AF38" s="11">
        <f t="shared" ca="1" si="31"/>
        <v>0</v>
      </c>
      <c r="AG38" s="11">
        <f t="shared" ca="1" si="31"/>
        <v>-12.398410555992893</v>
      </c>
      <c r="AH38" s="11">
        <f t="shared" ca="1" si="31"/>
        <v>0</v>
      </c>
      <c r="AI38" s="11">
        <f t="shared" ca="1" si="31"/>
        <v>-12.522084708961017</v>
      </c>
      <c r="AJ38" s="11">
        <f t="shared" ca="1" si="31"/>
        <v>0</v>
      </c>
      <c r="AK38" s="11">
        <f t="shared" ca="1" si="31"/>
        <v>-12.646992511681532</v>
      </c>
      <c r="AL38" s="11">
        <f t="shared" ca="1" si="31"/>
        <v>0</v>
      </c>
      <c r="AM38" s="11">
        <f t="shared" ca="1" si="31"/>
        <v>-12.773146269811473</v>
      </c>
      <c r="AN38" s="11">
        <f t="shared" ca="1" si="31"/>
        <v>0</v>
      </c>
      <c r="AO38" s="11">
        <f t="shared" ca="1" si="31"/>
        <v>-12.900558411756823</v>
      </c>
      <c r="AP38" s="11">
        <f t="shared" ca="1" si="31"/>
        <v>0</v>
      </c>
      <c r="AQ38" s="11">
        <f t="shared" ca="1" si="31"/>
        <v>-13.02924148989692</v>
      </c>
      <c r="AR38" s="11">
        <f t="shared" ca="1" si="31"/>
        <v>0</v>
      </c>
      <c r="AS38" s="11">
        <f t="shared" ca="1" si="31"/>
        <v>-13.159208181821095</v>
      </c>
      <c r="AT38" s="11">
        <f t="shared" ca="1" si="31"/>
        <v>0</v>
      </c>
      <c r="AU38" s="11">
        <f t="shared" ca="1" si="31"/>
        <v>-13.290471291577637</v>
      </c>
      <c r="AV38" s="11">
        <f t="shared" ca="1" si="31"/>
        <v>0</v>
      </c>
      <c r="AW38" s="11">
        <f t="shared" ca="1" si="31"/>
        <v>-13.423043750935225</v>
      </c>
      <c r="AX38" s="11">
        <f t="shared" ca="1" si="31"/>
        <v>0</v>
      </c>
      <c r="AY38" s="11">
        <f t="shared" ca="1" si="31"/>
        <v>-13.556938620656943</v>
      </c>
      <c r="AZ38" s="11">
        <f t="shared" ca="1" si="31"/>
        <v>0</v>
      </c>
      <c r="BA38" s="11">
        <f t="shared" ca="1" si="31"/>
        <v>-13.692169091786987</v>
      </c>
      <c r="BB38" s="8" t="s">
        <v>75</v>
      </c>
    </row>
    <row r="39" spans="1:54" s="2" customFormat="1" x14ac:dyDescent="0.2">
      <c r="B39" s="18" t="s">
        <v>349</v>
      </c>
      <c r="C39" s="81" t="s">
        <v>187</v>
      </c>
      <c r="G39" s="24">
        <f ca="1">+G37+G38</f>
        <v>-41.070838630626</v>
      </c>
      <c r="H39" s="24">
        <f t="shared" ref="H39:N39" ca="1" si="32">+H37+H38</f>
        <v>-205.59971313808717</v>
      </c>
      <c r="I39" s="24">
        <f t="shared" ca="1" si="32"/>
        <v>-240.53964526452415</v>
      </c>
      <c r="J39" s="24">
        <f t="shared" ca="1" si="32"/>
        <v>-216.39731447379245</v>
      </c>
      <c r="K39" s="24">
        <f t="shared" ca="1" si="32"/>
        <v>-218.06226429837901</v>
      </c>
      <c r="L39" s="24">
        <f t="shared" ca="1" si="32"/>
        <v>-221.59769679993363</v>
      </c>
      <c r="M39" s="24">
        <f t="shared" ca="1" si="32"/>
        <v>-225.18729394592015</v>
      </c>
      <c r="N39" s="24">
        <f t="shared" ca="1" si="32"/>
        <v>-228.83180650253328</v>
      </c>
      <c r="Y39" s="13"/>
      <c r="Z39" s="13"/>
      <c r="AA39" s="13"/>
      <c r="AB39" s="13"/>
      <c r="AC39" s="13"/>
      <c r="AD39" s="24">
        <f t="shared" ref="AD39:BA39" ca="1" si="33">+AD37+AD38</f>
        <v>-64.940278735891326</v>
      </c>
      <c r="AE39" s="24">
        <f t="shared" ca="1" si="33"/>
        <v>-62.384140995812949</v>
      </c>
      <c r="AF39" s="24">
        <f t="shared" ca="1" si="33"/>
        <v>-50.308082827827981</v>
      </c>
      <c r="AG39" s="24">
        <f t="shared" ca="1" si="33"/>
        <v>-62.907142704991927</v>
      </c>
      <c r="AH39" s="24">
        <f t="shared" ca="1" si="33"/>
        <v>-48.893073100434009</v>
      </c>
      <c r="AI39" s="24">
        <f t="shared" ca="1" si="33"/>
        <v>-59.782173205808526</v>
      </c>
      <c r="AJ39" s="24">
        <f t="shared" ca="1" si="33"/>
        <v>-47.444831616108324</v>
      </c>
      <c r="AK39" s="24">
        <f t="shared" ca="1" si="33"/>
        <v>-60.277236551441575</v>
      </c>
      <c r="AL39" s="24">
        <f t="shared" ca="1" si="33"/>
        <v>-47.816327854811504</v>
      </c>
      <c r="AM39" s="24">
        <f t="shared" ca="1" si="33"/>
        <v>-60.776231422282834</v>
      </c>
      <c r="AN39" s="24">
        <f t="shared" ca="1" si="33"/>
        <v>-48.190518028138044</v>
      </c>
      <c r="AO39" s="24">
        <f t="shared" ca="1" si="33"/>
        <v>-61.279186993146652</v>
      </c>
      <c r="AP39" s="24">
        <f t="shared" ca="1" si="33"/>
        <v>-48.567418915974471</v>
      </c>
      <c r="AQ39" s="24">
        <f t="shared" ca="1" si="33"/>
        <v>-61.786132629695707</v>
      </c>
      <c r="AR39" s="24">
        <f t="shared" ca="1" si="33"/>
        <v>-48.947047364917907</v>
      </c>
      <c r="AS39" s="24">
        <f t="shared" ca="1" si="33"/>
        <v>-62.297097889345515</v>
      </c>
      <c r="AT39" s="24">
        <f t="shared" ca="1" si="33"/>
        <v>-49.329420287937246</v>
      </c>
      <c r="AU39" s="24">
        <f t="shared" ca="1" si="33"/>
        <v>-62.812112522167972</v>
      </c>
      <c r="AV39" s="24">
        <f t="shared" ca="1" si="33"/>
        <v>-49.714554664021072</v>
      </c>
      <c r="AW39" s="24">
        <f t="shared" ca="1" si="33"/>
        <v>-63.331206471793848</v>
      </c>
      <c r="AX39" s="24">
        <f t="shared" ca="1" si="33"/>
        <v>-50.102467537811904</v>
      </c>
      <c r="AY39" s="24">
        <f t="shared" ca="1" si="33"/>
        <v>-63.854409876314271</v>
      </c>
      <c r="AZ39" s="24">
        <f t="shared" ca="1" si="33"/>
        <v>-50.493176019226524</v>
      </c>
      <c r="BA39" s="24">
        <f t="shared" ca="1" si="33"/>
        <v>-64.381753069180604</v>
      </c>
      <c r="BB39" s="83" t="s">
        <v>75</v>
      </c>
    </row>
    <row r="40" spans="1:54" x14ac:dyDescent="0.2">
      <c r="B40" s="1" t="s">
        <v>371</v>
      </c>
      <c r="C40" s="45" t="s">
        <v>187</v>
      </c>
      <c r="G40" s="23">
        <f t="shared" ref="G40:N42" si="34">+SUMIFS(40:40,$6:$6,G$3)</f>
        <v>-1.8919317416080021</v>
      </c>
      <c r="H40" s="23">
        <f t="shared" si="34"/>
        <v>-117.133</v>
      </c>
      <c r="I40" s="23">
        <f t="shared" ca="1" si="34"/>
        <v>0</v>
      </c>
      <c r="J40" s="23">
        <f t="shared" ca="1" si="34"/>
        <v>0</v>
      </c>
      <c r="K40" s="23">
        <f t="shared" ca="1" si="34"/>
        <v>0</v>
      </c>
      <c r="L40" s="23">
        <f t="shared" ca="1" si="34"/>
        <v>0</v>
      </c>
      <c r="M40" s="23">
        <f t="shared" ca="1" si="34"/>
        <v>0</v>
      </c>
      <c r="N40" s="23">
        <f t="shared" ca="1" si="34"/>
        <v>0</v>
      </c>
      <c r="Y40" s="46">
        <f>+SUMIFS(Financials!$87:$87,Financials!$3:$3,Y$3)+SUMIFS(Financials!$91:$91,Financials!$3:$3,Y$3)</f>
        <v>-1.8919317416080021</v>
      </c>
      <c r="Z40" s="46">
        <f>+SUMIFS(Financials!$87:$87,Financials!$3:$3,Z$3)+SUMIFS(Financials!$91:$91,Financials!$3:$3,Z$3)</f>
        <v>-21.762</v>
      </c>
      <c r="AA40" s="46">
        <f>+SUMIFS(Financials!$87:$87,Financials!$3:$3,AA$3)+SUMIFS(Financials!$91:$91,Financials!$3:$3,AA$3)</f>
        <v>-54.137</v>
      </c>
      <c r="AB40" s="46">
        <f>+SUMIFS(Financials!$87:$87,Financials!$3:$3,AB$3)+SUMIFS(Financials!$91:$91,Financials!$3:$3,AB$3)</f>
        <v>-31.242999999999999</v>
      </c>
      <c r="AC40" s="46">
        <f>+SUMIFS(Financials!$87:$87,Financials!$3:$3,AC$3)+SUMIFS(Financials!$91:$91,Financials!$3:$3,AC$3)</f>
        <v>-9.9909999999999997</v>
      </c>
      <c r="AD40" s="11">
        <f ca="1">+AD71+AD88+AD103+AD120</f>
        <v>0</v>
      </c>
      <c r="AE40" s="11">
        <f t="shared" ref="AE40:BA40" ca="1" si="35">+AE71+AE88+AE103+AE120</f>
        <v>0</v>
      </c>
      <c r="AF40" s="11">
        <f t="shared" ca="1" si="35"/>
        <v>0</v>
      </c>
      <c r="AG40" s="11">
        <f t="shared" ca="1" si="35"/>
        <v>0</v>
      </c>
      <c r="AH40" s="11">
        <f t="shared" ca="1" si="35"/>
        <v>0</v>
      </c>
      <c r="AI40" s="11">
        <f t="shared" ca="1" si="35"/>
        <v>0</v>
      </c>
      <c r="AJ40" s="11">
        <f t="shared" ca="1" si="35"/>
        <v>0</v>
      </c>
      <c r="AK40" s="11">
        <f t="shared" ca="1" si="35"/>
        <v>0</v>
      </c>
      <c r="AL40" s="11">
        <f t="shared" ca="1" si="35"/>
        <v>0</v>
      </c>
      <c r="AM40" s="11">
        <f t="shared" ca="1" si="35"/>
        <v>0</v>
      </c>
      <c r="AN40" s="11">
        <f t="shared" ca="1" si="35"/>
        <v>0</v>
      </c>
      <c r="AO40" s="11">
        <f t="shared" ca="1" si="35"/>
        <v>0</v>
      </c>
      <c r="AP40" s="11">
        <f t="shared" ca="1" si="35"/>
        <v>0</v>
      </c>
      <c r="AQ40" s="11">
        <f t="shared" ca="1" si="35"/>
        <v>0</v>
      </c>
      <c r="AR40" s="11">
        <f t="shared" ca="1" si="35"/>
        <v>0</v>
      </c>
      <c r="AS40" s="11">
        <f t="shared" ca="1" si="35"/>
        <v>0</v>
      </c>
      <c r="AT40" s="11">
        <f t="shared" ca="1" si="35"/>
        <v>0</v>
      </c>
      <c r="AU40" s="11">
        <f t="shared" ca="1" si="35"/>
        <v>0</v>
      </c>
      <c r="AV40" s="11">
        <f t="shared" ca="1" si="35"/>
        <v>0</v>
      </c>
      <c r="AW40" s="11">
        <f t="shared" ca="1" si="35"/>
        <v>0</v>
      </c>
      <c r="AX40" s="11">
        <f t="shared" ca="1" si="35"/>
        <v>0</v>
      </c>
      <c r="AY40" s="11">
        <f t="shared" ca="1" si="35"/>
        <v>0</v>
      </c>
      <c r="AZ40" s="11">
        <f t="shared" ca="1" si="35"/>
        <v>0</v>
      </c>
      <c r="BA40" s="11">
        <f t="shared" ca="1" si="35"/>
        <v>0</v>
      </c>
      <c r="BB40" s="8" t="s">
        <v>75</v>
      </c>
    </row>
    <row r="41" spans="1:54" x14ac:dyDescent="0.2">
      <c r="B41" s="1" t="s">
        <v>372</v>
      </c>
      <c r="C41" s="45" t="s">
        <v>187</v>
      </c>
      <c r="G41" s="23">
        <f t="shared" si="34"/>
        <v>0</v>
      </c>
      <c r="H41" s="23">
        <f t="shared" si="34"/>
        <v>0</v>
      </c>
      <c r="I41" s="23">
        <f t="shared" ca="1" si="34"/>
        <v>0</v>
      </c>
      <c r="J41" s="23">
        <f t="shared" ca="1" si="34"/>
        <v>0</v>
      </c>
      <c r="K41" s="23">
        <f t="shared" ca="1" si="34"/>
        <v>0</v>
      </c>
      <c r="L41" s="23">
        <f t="shared" ca="1" si="34"/>
        <v>0</v>
      </c>
      <c r="M41" s="23">
        <f t="shared" ca="1" si="34"/>
        <v>0</v>
      </c>
      <c r="N41" s="23">
        <f t="shared" ca="1" si="34"/>
        <v>0</v>
      </c>
      <c r="Y41" s="11"/>
      <c r="Z41" s="11"/>
      <c r="AA41" s="11"/>
      <c r="AB41" s="11"/>
      <c r="AC41" s="11"/>
      <c r="AD41" s="11">
        <f ca="1">+AD50-AC50</f>
        <v>0</v>
      </c>
      <c r="AE41" s="11">
        <f t="shared" ref="AE41:BA41" ca="1" si="36">+AE50-AD50</f>
        <v>0</v>
      </c>
      <c r="AF41" s="11">
        <f t="shared" ca="1" si="36"/>
        <v>0</v>
      </c>
      <c r="AG41" s="11">
        <f t="shared" ca="1" si="36"/>
        <v>0</v>
      </c>
      <c r="AH41" s="11">
        <f t="shared" ca="1" si="36"/>
        <v>0</v>
      </c>
      <c r="AI41" s="11">
        <f t="shared" ca="1" si="36"/>
        <v>0</v>
      </c>
      <c r="AJ41" s="11">
        <f t="shared" ca="1" si="36"/>
        <v>0</v>
      </c>
      <c r="AK41" s="11">
        <f t="shared" ca="1" si="36"/>
        <v>0</v>
      </c>
      <c r="AL41" s="11">
        <f t="shared" ca="1" si="36"/>
        <v>0</v>
      </c>
      <c r="AM41" s="11">
        <f t="shared" ca="1" si="36"/>
        <v>0</v>
      </c>
      <c r="AN41" s="11">
        <f t="shared" ca="1" si="36"/>
        <v>0</v>
      </c>
      <c r="AO41" s="11">
        <f t="shared" ca="1" si="36"/>
        <v>0</v>
      </c>
      <c r="AP41" s="11">
        <f t="shared" ca="1" si="36"/>
        <v>0</v>
      </c>
      <c r="AQ41" s="11">
        <f t="shared" ca="1" si="36"/>
        <v>0</v>
      </c>
      <c r="AR41" s="11">
        <f t="shared" ca="1" si="36"/>
        <v>0</v>
      </c>
      <c r="AS41" s="11">
        <f t="shared" ca="1" si="36"/>
        <v>0</v>
      </c>
      <c r="AT41" s="11">
        <f t="shared" ca="1" si="36"/>
        <v>0</v>
      </c>
      <c r="AU41" s="11">
        <f t="shared" ca="1" si="36"/>
        <v>0</v>
      </c>
      <c r="AV41" s="11">
        <f t="shared" ca="1" si="36"/>
        <v>0</v>
      </c>
      <c r="AW41" s="11">
        <f t="shared" ca="1" si="36"/>
        <v>0</v>
      </c>
      <c r="AX41" s="11">
        <f t="shared" ca="1" si="36"/>
        <v>0</v>
      </c>
      <c r="AY41" s="11">
        <f t="shared" ca="1" si="36"/>
        <v>0</v>
      </c>
      <c r="AZ41" s="11">
        <f t="shared" ca="1" si="36"/>
        <v>0</v>
      </c>
      <c r="BA41" s="11">
        <f t="shared" ca="1" si="36"/>
        <v>0</v>
      </c>
      <c r="BB41" s="8" t="s">
        <v>75</v>
      </c>
    </row>
    <row r="42" spans="1:54" x14ac:dyDescent="0.2">
      <c r="B42" s="1" t="s">
        <v>327</v>
      </c>
      <c r="C42" s="45" t="s">
        <v>187</v>
      </c>
      <c r="G42" s="23">
        <f t="shared" si="34"/>
        <v>0</v>
      </c>
      <c r="H42" s="23">
        <f t="shared" si="34"/>
        <v>0</v>
      </c>
      <c r="I42" s="23">
        <f t="shared" ca="1" si="34"/>
        <v>435.25312839976903</v>
      </c>
      <c r="J42" s="23">
        <f t="shared" ca="1" si="34"/>
        <v>82.704511807732757</v>
      </c>
      <c r="K42" s="23">
        <f t="shared" ca="1" si="34"/>
        <v>83.855564272137229</v>
      </c>
      <c r="L42" s="23">
        <f t="shared" ca="1" si="34"/>
        <v>85.019527025106214</v>
      </c>
      <c r="M42" s="23">
        <f t="shared" ca="1" si="34"/>
        <v>86.196455053375729</v>
      </c>
      <c r="N42" s="23">
        <f t="shared" ca="1" si="34"/>
        <v>87.386400358877978</v>
      </c>
      <c r="Y42" s="11"/>
      <c r="Z42" s="11"/>
      <c r="AA42" s="11"/>
      <c r="AB42" s="11"/>
      <c r="AC42" s="46"/>
      <c r="AD42" s="11">
        <f ca="1">+AD72+AD89+AD104+AD121</f>
        <v>373.95723360000034</v>
      </c>
      <c r="AE42" s="11">
        <f t="shared" ref="AE42:BA42" ca="1" si="37">+AE72+AE89+AE104+AE121</f>
        <v>20.371264843781631</v>
      </c>
      <c r="AF42" s="11">
        <f t="shared" ca="1" si="37"/>
        <v>20.411540002861557</v>
      </c>
      <c r="AG42" s="11">
        <f t="shared" ca="1" si="37"/>
        <v>20.513089953125483</v>
      </c>
      <c r="AH42" s="11">
        <f t="shared" ca="1" si="37"/>
        <v>20.553461492414044</v>
      </c>
      <c r="AI42" s="11">
        <f t="shared" ca="1" si="37"/>
        <v>20.655717519739312</v>
      </c>
      <c r="AJ42" s="11">
        <f t="shared" ca="1" si="37"/>
        <v>20.696183354619279</v>
      </c>
      <c r="AK42" s="11">
        <f t="shared" ca="1" si="37"/>
        <v>20.799149440960122</v>
      </c>
      <c r="AL42" s="11">
        <f t="shared" ca="1" si="37"/>
        <v>20.839707435633045</v>
      </c>
      <c r="AM42" s="11">
        <f t="shared" ca="1" si="37"/>
        <v>20.943387572129705</v>
      </c>
      <c r="AN42" s="11">
        <f t="shared" ca="1" si="37"/>
        <v>20.98403553880712</v>
      </c>
      <c r="AO42" s="11">
        <f t="shared" ca="1" si="37"/>
        <v>21.088433725567359</v>
      </c>
      <c r="AP42" s="11">
        <f t="shared" ca="1" si="37"/>
        <v>21.129169423645521</v>
      </c>
      <c r="AQ42" s="11">
        <f t="shared" ca="1" si="37"/>
        <v>21.234289669535343</v>
      </c>
      <c r="AR42" s="11">
        <f t="shared" ca="1" si="37"/>
        <v>21.275110804756764</v>
      </c>
      <c r="AS42" s="11">
        <f t="shared" ca="1" si="37"/>
        <v>21.380957127168578</v>
      </c>
      <c r="AT42" s="11">
        <f t="shared" ca="1" si="37"/>
        <v>21.421861350778272</v>
      </c>
      <c r="AU42" s="11">
        <f t="shared" ca="1" si="37"/>
        <v>21.52843777540793</v>
      </c>
      <c r="AV42" s="11">
        <f t="shared" ca="1" si="37"/>
        <v>21.569422683287371</v>
      </c>
      <c r="AW42" s="11">
        <f t="shared" ca="1" si="37"/>
        <v>21.676733243902166</v>
      </c>
      <c r="AX42" s="11">
        <f t="shared" ca="1" si="37"/>
        <v>21.717796375707053</v>
      </c>
      <c r="AY42" s="11">
        <f t="shared" ca="1" si="37"/>
        <v>21.825845113895035</v>
      </c>
      <c r="AZ42" s="11">
        <f t="shared" ca="1" si="37"/>
        <v>21.866983952169562</v>
      </c>
      <c r="BA42" s="11">
        <f t="shared" ca="1" si="37"/>
        <v>21.975774917106328</v>
      </c>
      <c r="BB42" s="8" t="s">
        <v>75</v>
      </c>
    </row>
    <row r="43" spans="1:54" x14ac:dyDescent="0.2">
      <c r="Y43" s="11"/>
      <c r="Z43" s="11"/>
      <c r="AA43" s="11"/>
      <c r="AB43" s="11"/>
      <c r="AC43" s="11"/>
      <c r="AD43" s="11"/>
      <c r="BB43" s="8" t="s">
        <v>75</v>
      </c>
    </row>
    <row r="44" spans="1:54" x14ac:dyDescent="0.2">
      <c r="B44" s="1" t="s">
        <v>373</v>
      </c>
      <c r="C44" s="45" t="s">
        <v>187</v>
      </c>
      <c r="G44" s="23">
        <f t="shared" ref="G44:N44" si="38">+SUMIFS(44:44,$6:$6,G$3)</f>
        <v>-1.8919317416080021</v>
      </c>
      <c r="H44" s="23">
        <f t="shared" si="38"/>
        <v>-117.133</v>
      </c>
      <c r="I44" s="23">
        <f t="shared" ca="1" si="38"/>
        <v>0</v>
      </c>
      <c r="J44" s="23">
        <f t="shared" ca="1" si="38"/>
        <v>0</v>
      </c>
      <c r="K44" s="23">
        <f t="shared" ca="1" si="38"/>
        <v>0</v>
      </c>
      <c r="L44" s="23">
        <f t="shared" ca="1" si="38"/>
        <v>0</v>
      </c>
      <c r="M44" s="23">
        <f t="shared" ca="1" si="38"/>
        <v>0</v>
      </c>
      <c r="N44" s="23">
        <f t="shared" ca="1" si="38"/>
        <v>0</v>
      </c>
      <c r="Y44" s="11">
        <f t="shared" ref="Y44:AD44" si="39">+Y40+Y41</f>
        <v>-1.8919317416080021</v>
      </c>
      <c r="Z44" s="11">
        <f t="shared" si="39"/>
        <v>-21.762</v>
      </c>
      <c r="AA44" s="11">
        <f t="shared" si="39"/>
        <v>-54.137</v>
      </c>
      <c r="AB44" s="11">
        <f t="shared" si="39"/>
        <v>-31.242999999999999</v>
      </c>
      <c r="AC44" s="11">
        <f t="shared" si="39"/>
        <v>-9.9909999999999997</v>
      </c>
      <c r="AD44" s="11">
        <f t="shared" ca="1" si="39"/>
        <v>0</v>
      </c>
      <c r="AE44" s="11">
        <f t="shared" ref="AE44:BA44" ca="1" si="40">+AE40+AE41</f>
        <v>0</v>
      </c>
      <c r="AF44" s="11">
        <f t="shared" ca="1" si="40"/>
        <v>0</v>
      </c>
      <c r="AG44" s="11">
        <f t="shared" ca="1" si="40"/>
        <v>0</v>
      </c>
      <c r="AH44" s="11">
        <f t="shared" ca="1" si="40"/>
        <v>0</v>
      </c>
      <c r="AI44" s="11">
        <f t="shared" ca="1" si="40"/>
        <v>0</v>
      </c>
      <c r="AJ44" s="11">
        <f t="shared" ca="1" si="40"/>
        <v>0</v>
      </c>
      <c r="AK44" s="11">
        <f t="shared" ca="1" si="40"/>
        <v>0</v>
      </c>
      <c r="AL44" s="11">
        <f t="shared" ca="1" si="40"/>
        <v>0</v>
      </c>
      <c r="AM44" s="11">
        <f t="shared" ca="1" si="40"/>
        <v>0</v>
      </c>
      <c r="AN44" s="11">
        <f t="shared" ca="1" si="40"/>
        <v>0</v>
      </c>
      <c r="AO44" s="11">
        <f t="shared" ca="1" si="40"/>
        <v>0</v>
      </c>
      <c r="AP44" s="11">
        <f t="shared" ca="1" si="40"/>
        <v>0</v>
      </c>
      <c r="AQ44" s="11">
        <f t="shared" ca="1" si="40"/>
        <v>0</v>
      </c>
      <c r="AR44" s="11">
        <f t="shared" ca="1" si="40"/>
        <v>0</v>
      </c>
      <c r="AS44" s="11">
        <f t="shared" ca="1" si="40"/>
        <v>0</v>
      </c>
      <c r="AT44" s="11">
        <f t="shared" ca="1" si="40"/>
        <v>0</v>
      </c>
      <c r="AU44" s="11">
        <f t="shared" ca="1" si="40"/>
        <v>0</v>
      </c>
      <c r="AV44" s="11">
        <f t="shared" ca="1" si="40"/>
        <v>0</v>
      </c>
      <c r="AW44" s="11">
        <f t="shared" ca="1" si="40"/>
        <v>0</v>
      </c>
      <c r="AX44" s="11">
        <f t="shared" ca="1" si="40"/>
        <v>0</v>
      </c>
      <c r="AY44" s="11">
        <f t="shared" ca="1" si="40"/>
        <v>0</v>
      </c>
      <c r="AZ44" s="11">
        <f t="shared" ca="1" si="40"/>
        <v>0</v>
      </c>
      <c r="BA44" s="11">
        <f t="shared" ca="1" si="40"/>
        <v>0</v>
      </c>
      <c r="BB44" s="8" t="s">
        <v>75</v>
      </c>
    </row>
    <row r="45" spans="1:54" x14ac:dyDescent="0.2">
      <c r="Y45" s="11"/>
      <c r="Z45" s="11"/>
      <c r="AA45" s="11"/>
      <c r="AB45" s="11"/>
      <c r="AC45" s="11"/>
      <c r="AD45" s="11"/>
      <c r="BB45" s="8" t="s">
        <v>75</v>
      </c>
    </row>
    <row r="46" spans="1:54" s="35" customFormat="1" x14ac:dyDescent="0.2">
      <c r="A46" s="1" t="s">
        <v>75</v>
      </c>
      <c r="B46" s="36" t="s">
        <v>321</v>
      </c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BB46" s="90" t="s">
        <v>75</v>
      </c>
    </row>
    <row r="47" spans="1:54" x14ac:dyDescent="0.2">
      <c r="B47" s="1" t="s">
        <v>330</v>
      </c>
      <c r="C47" s="45" t="s">
        <v>187</v>
      </c>
      <c r="Y47" s="11"/>
      <c r="Z47" s="11"/>
      <c r="AA47" s="11"/>
      <c r="AB47" s="11"/>
      <c r="AC47" s="106">
        <f>+AC19-AC73-AC90-AC105</f>
        <v>2.4670000000002119</v>
      </c>
      <c r="AD47" s="11">
        <f>+AC47</f>
        <v>2.4670000000002119</v>
      </c>
      <c r="AE47" s="11">
        <f t="shared" ref="AE47:BA47" si="41">+AD47</f>
        <v>2.4670000000002119</v>
      </c>
      <c r="AF47" s="11">
        <f t="shared" si="41"/>
        <v>2.4670000000002119</v>
      </c>
      <c r="AG47" s="11">
        <f t="shared" si="41"/>
        <v>2.4670000000002119</v>
      </c>
      <c r="AH47" s="11">
        <f t="shared" si="41"/>
        <v>2.4670000000002119</v>
      </c>
      <c r="AI47" s="11">
        <f t="shared" si="41"/>
        <v>2.4670000000002119</v>
      </c>
      <c r="AJ47" s="11">
        <f t="shared" si="41"/>
        <v>2.4670000000002119</v>
      </c>
      <c r="AK47" s="11">
        <f t="shared" si="41"/>
        <v>2.4670000000002119</v>
      </c>
      <c r="AL47" s="11">
        <f t="shared" si="41"/>
        <v>2.4670000000002119</v>
      </c>
      <c r="AM47" s="11">
        <f t="shared" si="41"/>
        <v>2.4670000000002119</v>
      </c>
      <c r="AN47" s="11">
        <f t="shared" si="41"/>
        <v>2.4670000000002119</v>
      </c>
      <c r="AO47" s="11">
        <f t="shared" si="41"/>
        <v>2.4670000000002119</v>
      </c>
      <c r="AP47" s="11">
        <f t="shared" si="41"/>
        <v>2.4670000000002119</v>
      </c>
      <c r="AQ47" s="11">
        <f t="shared" si="41"/>
        <v>2.4670000000002119</v>
      </c>
      <c r="AR47" s="11">
        <f t="shared" si="41"/>
        <v>2.4670000000002119</v>
      </c>
      <c r="AS47" s="11">
        <f t="shared" si="41"/>
        <v>2.4670000000002119</v>
      </c>
      <c r="AT47" s="11">
        <f t="shared" si="41"/>
        <v>2.4670000000002119</v>
      </c>
      <c r="AU47" s="11">
        <f t="shared" si="41"/>
        <v>2.4670000000002119</v>
      </c>
      <c r="AV47" s="11">
        <f t="shared" si="41"/>
        <v>2.4670000000002119</v>
      </c>
      <c r="AW47" s="11">
        <f t="shared" si="41"/>
        <v>2.4670000000002119</v>
      </c>
      <c r="AX47" s="11">
        <f t="shared" si="41"/>
        <v>2.4670000000002119</v>
      </c>
      <c r="AY47" s="11">
        <f t="shared" si="41"/>
        <v>2.4670000000002119</v>
      </c>
      <c r="AZ47" s="11">
        <f t="shared" si="41"/>
        <v>2.4670000000002119</v>
      </c>
      <c r="BA47" s="11">
        <f t="shared" si="41"/>
        <v>2.4670000000002119</v>
      </c>
      <c r="BB47" s="8" t="s">
        <v>75</v>
      </c>
    </row>
    <row r="48" spans="1:54" x14ac:dyDescent="0.2">
      <c r="B48" s="1" t="s">
        <v>175</v>
      </c>
      <c r="C48" s="45" t="s">
        <v>187</v>
      </c>
      <c r="D48" s="48">
        <f>+Financing!$D$25</f>
        <v>5.5E-2</v>
      </c>
      <c r="Y48" s="11"/>
      <c r="Z48" s="11"/>
      <c r="AA48" s="11"/>
      <c r="AB48" s="11"/>
      <c r="AC48" s="106"/>
      <c r="AD48" s="11">
        <f t="shared" ref="AD48:BA48" si="42">-IF(Circ=1,AVERAGE(AD47,AC47)*$D48/4,AC47*$D48/4)</f>
        <v>-3.3921250000002914E-2</v>
      </c>
      <c r="AE48" s="11">
        <f t="shared" si="42"/>
        <v>-3.3921250000002914E-2</v>
      </c>
      <c r="AF48" s="11">
        <f t="shared" si="42"/>
        <v>-3.3921250000002914E-2</v>
      </c>
      <c r="AG48" s="11">
        <f t="shared" si="42"/>
        <v>-3.3921250000002914E-2</v>
      </c>
      <c r="AH48" s="11">
        <f t="shared" si="42"/>
        <v>-3.3921250000002914E-2</v>
      </c>
      <c r="AI48" s="11">
        <f t="shared" si="42"/>
        <v>-3.3921250000002914E-2</v>
      </c>
      <c r="AJ48" s="11">
        <f t="shared" si="42"/>
        <v>-3.3921250000002914E-2</v>
      </c>
      <c r="AK48" s="11">
        <f t="shared" si="42"/>
        <v>-3.3921250000002914E-2</v>
      </c>
      <c r="AL48" s="11">
        <f t="shared" si="42"/>
        <v>-3.3921250000002914E-2</v>
      </c>
      <c r="AM48" s="11">
        <f t="shared" si="42"/>
        <v>-3.3921250000002914E-2</v>
      </c>
      <c r="AN48" s="11">
        <f t="shared" si="42"/>
        <v>-3.3921250000002914E-2</v>
      </c>
      <c r="AO48" s="11">
        <f t="shared" si="42"/>
        <v>-3.3921250000002914E-2</v>
      </c>
      <c r="AP48" s="11">
        <f t="shared" si="42"/>
        <v>-3.3921250000002914E-2</v>
      </c>
      <c r="AQ48" s="11">
        <f t="shared" si="42"/>
        <v>-3.3921250000002914E-2</v>
      </c>
      <c r="AR48" s="11">
        <f t="shared" si="42"/>
        <v>-3.3921250000002914E-2</v>
      </c>
      <c r="AS48" s="11">
        <f t="shared" si="42"/>
        <v>-3.3921250000002914E-2</v>
      </c>
      <c r="AT48" s="11">
        <f t="shared" si="42"/>
        <v>-3.3921250000002914E-2</v>
      </c>
      <c r="AU48" s="11">
        <f t="shared" si="42"/>
        <v>-3.3921250000002914E-2</v>
      </c>
      <c r="AV48" s="11">
        <f t="shared" si="42"/>
        <v>-3.3921250000002914E-2</v>
      </c>
      <c r="AW48" s="11">
        <f t="shared" si="42"/>
        <v>-3.3921250000002914E-2</v>
      </c>
      <c r="AX48" s="11">
        <f t="shared" si="42"/>
        <v>-3.3921250000002914E-2</v>
      </c>
      <c r="AY48" s="11">
        <f t="shared" si="42"/>
        <v>-3.3921250000002914E-2</v>
      </c>
      <c r="AZ48" s="11">
        <f t="shared" si="42"/>
        <v>-3.3921250000002914E-2</v>
      </c>
      <c r="BA48" s="11">
        <f t="shared" si="42"/>
        <v>-3.3921250000002914E-2</v>
      </c>
      <c r="BB48" s="8" t="s">
        <v>75</v>
      </c>
    </row>
    <row r="49" spans="1:54" x14ac:dyDescent="0.2">
      <c r="Y49" s="11"/>
      <c r="Z49" s="11"/>
      <c r="AA49" s="11"/>
      <c r="AB49" s="11"/>
      <c r="AC49" s="11"/>
      <c r="BB49" s="8" t="s">
        <v>75</v>
      </c>
    </row>
    <row r="50" spans="1:54" x14ac:dyDescent="0.2">
      <c r="B50" s="1" t="s">
        <v>331</v>
      </c>
      <c r="C50" s="45" t="s">
        <v>187</v>
      </c>
      <c r="Y50" s="11"/>
      <c r="Z50" s="11"/>
      <c r="AA50" s="11"/>
      <c r="AB50" s="11"/>
      <c r="AC50" s="12">
        <v>0</v>
      </c>
      <c r="AD50" s="11">
        <f ca="1">+AC50-AD58</f>
        <v>0</v>
      </c>
      <c r="AE50" s="11">
        <f t="shared" ref="AE50:BA50" ca="1" si="43">+(AD50-AE58)*Circ</f>
        <v>0</v>
      </c>
      <c r="AF50" s="11">
        <f t="shared" ca="1" si="43"/>
        <v>0</v>
      </c>
      <c r="AG50" s="11">
        <f t="shared" ca="1" si="43"/>
        <v>0</v>
      </c>
      <c r="AH50" s="11">
        <f t="shared" ca="1" si="43"/>
        <v>0</v>
      </c>
      <c r="AI50" s="11">
        <f t="shared" ca="1" si="43"/>
        <v>0</v>
      </c>
      <c r="AJ50" s="11">
        <f t="shared" ca="1" si="43"/>
        <v>0</v>
      </c>
      <c r="AK50" s="11">
        <f t="shared" ca="1" si="43"/>
        <v>0</v>
      </c>
      <c r="AL50" s="11">
        <f t="shared" ca="1" si="43"/>
        <v>0</v>
      </c>
      <c r="AM50" s="11">
        <f t="shared" ca="1" si="43"/>
        <v>0</v>
      </c>
      <c r="AN50" s="11">
        <f t="shared" ca="1" si="43"/>
        <v>0</v>
      </c>
      <c r="AO50" s="11">
        <f t="shared" ca="1" si="43"/>
        <v>0</v>
      </c>
      <c r="AP50" s="11">
        <f t="shared" ca="1" si="43"/>
        <v>0</v>
      </c>
      <c r="AQ50" s="11">
        <f t="shared" ca="1" si="43"/>
        <v>0</v>
      </c>
      <c r="AR50" s="11">
        <f t="shared" ca="1" si="43"/>
        <v>0</v>
      </c>
      <c r="AS50" s="11">
        <f t="shared" ca="1" si="43"/>
        <v>0</v>
      </c>
      <c r="AT50" s="11">
        <f t="shared" ca="1" si="43"/>
        <v>0</v>
      </c>
      <c r="AU50" s="11">
        <f t="shared" ca="1" si="43"/>
        <v>0</v>
      </c>
      <c r="AV50" s="11">
        <f t="shared" ca="1" si="43"/>
        <v>0</v>
      </c>
      <c r="AW50" s="11">
        <f t="shared" ca="1" si="43"/>
        <v>0</v>
      </c>
      <c r="AX50" s="11">
        <f t="shared" ca="1" si="43"/>
        <v>0</v>
      </c>
      <c r="AY50" s="11">
        <f t="shared" ca="1" si="43"/>
        <v>0</v>
      </c>
      <c r="AZ50" s="11">
        <f t="shared" ca="1" si="43"/>
        <v>0</v>
      </c>
      <c r="BA50" s="11">
        <f t="shared" ca="1" si="43"/>
        <v>0</v>
      </c>
      <c r="BB50" s="8" t="s">
        <v>75</v>
      </c>
    </row>
    <row r="51" spans="1:54" x14ac:dyDescent="0.2">
      <c r="B51" s="1" t="s">
        <v>175</v>
      </c>
      <c r="C51" s="45" t="s">
        <v>187</v>
      </c>
      <c r="D51" s="48">
        <f>+Financing!$D$25</f>
        <v>5.5E-2</v>
      </c>
      <c r="Y51" s="11"/>
      <c r="Z51" s="11"/>
      <c r="AA51" s="11"/>
      <c r="AB51" s="11"/>
      <c r="AC51" s="11"/>
      <c r="AD51" s="11">
        <f t="shared" ref="AD51:BA51" ca="1" si="44">-IF(Circ=1,AVERAGE(AD50,AC50)*$D51/4,AC50*$D51/4)</f>
        <v>0</v>
      </c>
      <c r="AE51" s="11">
        <f t="shared" ca="1" si="44"/>
        <v>0</v>
      </c>
      <c r="AF51" s="11">
        <f t="shared" ca="1" si="44"/>
        <v>0</v>
      </c>
      <c r="AG51" s="11">
        <f t="shared" ca="1" si="44"/>
        <v>0</v>
      </c>
      <c r="AH51" s="11">
        <f t="shared" ca="1" si="44"/>
        <v>0</v>
      </c>
      <c r="AI51" s="11">
        <f t="shared" ca="1" si="44"/>
        <v>0</v>
      </c>
      <c r="AJ51" s="11">
        <f t="shared" ca="1" si="44"/>
        <v>0</v>
      </c>
      <c r="AK51" s="11">
        <f t="shared" ca="1" si="44"/>
        <v>0</v>
      </c>
      <c r="AL51" s="11">
        <f t="shared" ca="1" si="44"/>
        <v>0</v>
      </c>
      <c r="AM51" s="11">
        <f t="shared" ca="1" si="44"/>
        <v>0</v>
      </c>
      <c r="AN51" s="11">
        <f t="shared" ca="1" si="44"/>
        <v>0</v>
      </c>
      <c r="AO51" s="11">
        <f t="shared" ca="1" si="44"/>
        <v>0</v>
      </c>
      <c r="AP51" s="11">
        <f t="shared" ca="1" si="44"/>
        <v>0</v>
      </c>
      <c r="AQ51" s="11">
        <f t="shared" ca="1" si="44"/>
        <v>0</v>
      </c>
      <c r="AR51" s="11">
        <f t="shared" ca="1" si="44"/>
        <v>0</v>
      </c>
      <c r="AS51" s="11">
        <f t="shared" ca="1" si="44"/>
        <v>0</v>
      </c>
      <c r="AT51" s="11">
        <f t="shared" ca="1" si="44"/>
        <v>0</v>
      </c>
      <c r="AU51" s="11">
        <f t="shared" ca="1" si="44"/>
        <v>0</v>
      </c>
      <c r="AV51" s="11">
        <f t="shared" ca="1" si="44"/>
        <v>0</v>
      </c>
      <c r="AW51" s="11">
        <f t="shared" ca="1" si="44"/>
        <v>0</v>
      </c>
      <c r="AX51" s="11">
        <f t="shared" ca="1" si="44"/>
        <v>0</v>
      </c>
      <c r="AY51" s="11">
        <f t="shared" ca="1" si="44"/>
        <v>0</v>
      </c>
      <c r="AZ51" s="11">
        <f t="shared" ca="1" si="44"/>
        <v>0</v>
      </c>
      <c r="BA51" s="11">
        <f t="shared" ca="1" si="44"/>
        <v>0</v>
      </c>
      <c r="BB51" s="8" t="s">
        <v>75</v>
      </c>
    </row>
    <row r="52" spans="1:54" x14ac:dyDescent="0.2">
      <c r="Y52" s="11"/>
      <c r="Z52" s="11"/>
      <c r="AA52" s="11"/>
      <c r="AB52" s="11"/>
      <c r="AC52" s="11"/>
      <c r="BB52" s="8" t="s">
        <v>75</v>
      </c>
    </row>
    <row r="53" spans="1:54" x14ac:dyDescent="0.2">
      <c r="Y53" s="11"/>
      <c r="Z53" s="11"/>
      <c r="AA53" s="11"/>
      <c r="AB53" s="11"/>
      <c r="AC53" s="11"/>
      <c r="BB53" s="8" t="s">
        <v>75</v>
      </c>
    </row>
    <row r="54" spans="1:54" x14ac:dyDescent="0.2">
      <c r="B54" s="1" t="s">
        <v>322</v>
      </c>
      <c r="C54" s="45" t="s">
        <v>187</v>
      </c>
      <c r="Y54" s="11"/>
      <c r="Z54" s="11"/>
      <c r="AA54" s="11"/>
      <c r="AB54" s="11"/>
      <c r="AC54" s="11"/>
      <c r="AD54" s="46">
        <f ca="1">+SUMIFS(Financials!$94:$94,Financials!$3:$3,AD$3)-SUMIFS(Financials!$91:$91,Financials!$3:$3,AD$3)</f>
        <v>-61.008890019340456</v>
      </c>
      <c r="AE54" s="46">
        <f ca="1">+(SUMIFS(Financials!$94:$94,Financials!$3:$3,AE$3)-SUMIFS(Financials!$91:$91,Financials!$3:$3,AE$3))*Circ</f>
        <v>-33.991717212679561</v>
      </c>
      <c r="AF54" s="46">
        <f ca="1">+(SUMIFS(Financials!$94:$94,Financials!$3:$3,AF$3)-SUMIFS(Financials!$91:$91,Financials!$3:$3,AF$3))*Circ</f>
        <v>62.901486986099428</v>
      </c>
      <c r="AG54" s="46">
        <f ca="1">+(SUMIFS(Financials!$94:$94,Financials!$3:$3,AG$3)-SUMIFS(Financials!$91:$91,Financials!$3:$3,AG$3))*Circ</f>
        <v>15.227535176413099</v>
      </c>
      <c r="AH54" s="46">
        <f ca="1">+(SUMIFS(Financials!$94:$94,Financials!$3:$3,AH$3)-SUMIFS(Financials!$91:$91,Financials!$3:$3,AH$3))*Circ</f>
        <v>4.7119538498573945</v>
      </c>
      <c r="AI54" s="46">
        <f ca="1">+(SUMIFS(Financials!$94:$94,Financials!$3:$3,AI$3)-SUMIFS(Financials!$91:$91,Financials!$3:$3,AI$3))*Circ</f>
        <v>69.624675820399204</v>
      </c>
      <c r="AJ54" s="46">
        <f ca="1">+(SUMIFS(Financials!$94:$94,Financials!$3:$3,AJ$3)-SUMIFS(Financials!$91:$91,Financials!$3:$3,AJ$3))*Circ</f>
        <v>22.178497622706061</v>
      </c>
      <c r="AK54" s="46">
        <f ca="1">+(SUMIFS(Financials!$94:$94,Financials!$3:$3,AK$3)-SUMIFS(Financials!$91:$91,Financials!$3:$3,AK$3))*Circ</f>
        <v>-62.523067962902303</v>
      </c>
      <c r="AL54" s="46">
        <f ca="1">+(SUMIFS(Financials!$94:$94,Financials!$3:$3,AL$3)-SUMIFS(Financials!$91:$91,Financials!$3:$3,AL$3))*Circ</f>
        <v>-1.9139610882765226</v>
      </c>
      <c r="AM54" s="46">
        <f ca="1">+(SUMIFS(Financials!$94:$94,Financials!$3:$3,AM$3)-SUMIFS(Financials!$91:$91,Financials!$3:$3,AM$3))*Circ</f>
        <v>70.66399575082761</v>
      </c>
      <c r="AN54" s="46">
        <f ca="1">+(SUMIFS(Financials!$94:$94,Financials!$3:$3,AN$3)-SUMIFS(Financials!$91:$91,Financials!$3:$3,AN$3))*Circ</f>
        <v>60.067471139922304</v>
      </c>
      <c r="AO54" s="46">
        <f ca="1">+(SUMIFS(Financials!$94:$94,Financials!$3:$3,AO$3)-SUMIFS(Financials!$91:$91,Financials!$3:$3,AO$3))*Circ</f>
        <v>-32.992102036197338</v>
      </c>
      <c r="AP54" s="46">
        <f ca="1">+(SUMIFS(Financials!$94:$94,Financials!$3:$3,AP$3)-SUMIFS(Financials!$91:$91,Financials!$3:$3,AP$3))*Circ</f>
        <v>-23.782930456702559</v>
      </c>
      <c r="AQ54" s="46">
        <f ca="1">+(SUMIFS(Financials!$94:$94,Financials!$3:$3,AQ$3)-SUMIFS(Financials!$91:$91,Financials!$3:$3,AQ$3))*Circ</f>
        <v>57.84170163958575</v>
      </c>
      <c r="AR54" s="46">
        <f ca="1">+(SUMIFS(Financials!$94:$94,Financials!$3:$3,AR$3)-SUMIFS(Financials!$91:$91,Financials!$3:$3,AR$3))*Circ</f>
        <v>49.913784418708047</v>
      </c>
      <c r="AS54" s="46">
        <f ca="1">+(SUMIFS(Financials!$94:$94,Financials!$3:$3,AS$3)-SUMIFS(Financials!$91:$91,Financials!$3:$3,AS$3))*Circ</f>
        <v>-52.546741766386532</v>
      </c>
      <c r="AT54" s="46">
        <f ca="1">+(SUMIFS(Financials!$94:$94,Financials!$3:$3,AT$3)-SUMIFS(Financials!$91:$91,Financials!$3:$3,AT$3))*Circ</f>
        <v>-48.920602824094573</v>
      </c>
      <c r="AU54" s="46">
        <f ca="1">+(SUMIFS(Financials!$94:$94,Financials!$3:$3,AU$3)-SUMIFS(Financials!$91:$91,Financials!$3:$3,AU$3))*Circ</f>
        <v>45.471363711453535</v>
      </c>
      <c r="AV54" s="46">
        <f ca="1">+(SUMIFS(Financials!$94:$94,Financials!$3:$3,AV$3)-SUMIFS(Financials!$91:$91,Financials!$3:$3,AV$3))*Circ</f>
        <v>57.938768559779021</v>
      </c>
      <c r="AW54" s="46">
        <f ca="1">+(SUMIFS(Financials!$94:$94,Financials!$3:$3,AW$3)-SUMIFS(Financials!$91:$91,Financials!$3:$3,AW$3))*Circ</f>
        <v>-55.508893257259416</v>
      </c>
      <c r="AX54" s="46">
        <f ca="1">+(SUMIFS(Financials!$94:$94,Financials!$3:$3,AX$3)-SUMIFS(Financials!$91:$91,Financials!$3:$3,AX$3))*Circ</f>
        <v>-53.158130231948377</v>
      </c>
      <c r="AY54" s="46">
        <f ca="1">+(SUMIFS(Financials!$94:$94,Financials!$3:$3,AY$3)-SUMIFS(Financials!$91:$91,Financials!$3:$3,AY$3))*Circ</f>
        <v>52.711195813140932</v>
      </c>
      <c r="AZ54" s="46">
        <f ca="1">+(SUMIFS(Financials!$94:$94,Financials!$3:$3,AZ$3)-SUMIFS(Financials!$91:$91,Financials!$3:$3,AZ$3))*Circ</f>
        <v>67.936668621103138</v>
      </c>
      <c r="BA54" s="46">
        <f ca="1">+(SUMIFS(Financials!$94:$94,Financials!$3:$3,BA$3)-SUMIFS(Financials!$91:$91,Financials!$3:$3,BA$3))*Circ</f>
        <v>-57.192509259748761</v>
      </c>
      <c r="BB54" s="8" t="s">
        <v>75</v>
      </c>
    </row>
    <row r="55" spans="1:54" x14ac:dyDescent="0.2">
      <c r="B55" s="1" t="s">
        <v>323</v>
      </c>
      <c r="C55" s="45" t="s">
        <v>187</v>
      </c>
      <c r="Y55" s="11"/>
      <c r="Z55" s="11"/>
      <c r="AA55" s="11"/>
      <c r="AB55" s="11"/>
      <c r="AC55" s="11"/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8" t="s">
        <v>75</v>
      </c>
    </row>
    <row r="56" spans="1:54" s="2" customFormat="1" x14ac:dyDescent="0.2">
      <c r="B56" s="2" t="s">
        <v>324</v>
      </c>
      <c r="C56" s="81" t="s">
        <v>187</v>
      </c>
      <c r="Y56" s="13"/>
      <c r="Z56" s="13"/>
      <c r="AA56" s="13"/>
      <c r="AB56" s="13"/>
      <c r="AC56" s="13"/>
      <c r="AD56" s="148">
        <f>+SUMIFS(Financials!$101:$101,Financials!$3:$3,AC$3)-AD61</f>
        <v>164.84800000000001</v>
      </c>
      <c r="AE56" s="148">
        <f ca="1">+SUMIFS(Financials!$101:$101,Financials!$3:$3,AD$3)-AE61</f>
        <v>103.83910998065954</v>
      </c>
      <c r="AF56" s="148">
        <f ca="1">+SUMIFS(Financials!$101:$101,Financials!$3:$3,AE$3)-AF61</f>
        <v>69.847392767979983</v>
      </c>
      <c r="AG56" s="148">
        <f ca="1">+SUMIFS(Financials!$101:$101,Financials!$3:$3,AF$3)-AG61</f>
        <v>132.74887975407941</v>
      </c>
      <c r="AH56" s="148">
        <f ca="1">+SUMIFS(Financials!$101:$101,Financials!$3:$3,AG$3)-AH61</f>
        <v>147.97641493049252</v>
      </c>
      <c r="AI56" s="148">
        <f ca="1">+SUMIFS(Financials!$101:$101,Financials!$3:$3,AH$3)-AI61</f>
        <v>152.68836878034992</v>
      </c>
      <c r="AJ56" s="148">
        <f ca="1">+SUMIFS(Financials!$101:$101,Financials!$3:$3,AI$3)-AJ61</f>
        <v>222.31304460074909</v>
      </c>
      <c r="AK56" s="148">
        <f ca="1">+SUMIFS(Financials!$101:$101,Financials!$3:$3,AJ$3)-AK61</f>
        <v>244.49154222345516</v>
      </c>
      <c r="AL56" s="148">
        <f ca="1">+SUMIFS(Financials!$101:$101,Financials!$3:$3,AK$3)-AL61</f>
        <v>181.96847426055285</v>
      </c>
      <c r="AM56" s="148">
        <f ca="1">+SUMIFS(Financials!$101:$101,Financials!$3:$3,AL$3)-AM61</f>
        <v>180.05451317227633</v>
      </c>
      <c r="AN56" s="148">
        <f ca="1">+SUMIFS(Financials!$101:$101,Financials!$3:$3,AM$3)-AN61</f>
        <v>250.71850892310397</v>
      </c>
      <c r="AO56" s="148">
        <f ca="1">+SUMIFS(Financials!$101:$101,Financials!$3:$3,AN$3)-AO61</f>
        <v>310.78598006302627</v>
      </c>
      <c r="AP56" s="148">
        <f ca="1">+SUMIFS(Financials!$101:$101,Financials!$3:$3,AO$3)-AP61</f>
        <v>277.79387802682891</v>
      </c>
      <c r="AQ56" s="148">
        <f ca="1">+SUMIFS(Financials!$101:$101,Financials!$3:$3,AP$3)-AQ61</f>
        <v>254.01094757012635</v>
      </c>
      <c r="AR56" s="148">
        <f ca="1">+SUMIFS(Financials!$101:$101,Financials!$3:$3,AQ$3)-AR61</f>
        <v>311.85264920971213</v>
      </c>
      <c r="AS56" s="148">
        <f ca="1">+SUMIFS(Financials!$101:$101,Financials!$3:$3,AR$3)-AS61</f>
        <v>361.76643362842015</v>
      </c>
      <c r="AT56" s="148">
        <f ca="1">+SUMIFS(Financials!$101:$101,Financials!$3:$3,AS$3)-AT61</f>
        <v>309.21969186203364</v>
      </c>
      <c r="AU56" s="148">
        <f ca="1">+SUMIFS(Financials!$101:$101,Financials!$3:$3,AT$3)-AU61</f>
        <v>260.2990890379391</v>
      </c>
      <c r="AV56" s="148">
        <f ca="1">+SUMIFS(Financials!$101:$101,Financials!$3:$3,AU$3)-AV61</f>
        <v>305.77045274939263</v>
      </c>
      <c r="AW56" s="148">
        <f ca="1">+SUMIFS(Financials!$101:$101,Financials!$3:$3,AV$3)-AW61</f>
        <v>363.70922130917165</v>
      </c>
      <c r="AX56" s="148">
        <f ca="1">+SUMIFS(Financials!$101:$101,Financials!$3:$3,AW$3)-AX61</f>
        <v>308.20032805191227</v>
      </c>
      <c r="AY56" s="148">
        <f ca="1">+SUMIFS(Financials!$101:$101,Financials!$3:$3,AX$3)-AY61</f>
        <v>255.04219781996392</v>
      </c>
      <c r="AZ56" s="148">
        <f ca="1">+SUMIFS(Financials!$101:$101,Financials!$3:$3,AY$3)-AZ61</f>
        <v>307.75339363310485</v>
      </c>
      <c r="BA56" s="148">
        <f ca="1">+SUMIFS(Financials!$101:$101,Financials!$3:$3,AZ$3)-BA61</f>
        <v>375.69006225420799</v>
      </c>
      <c r="BB56" s="8" t="s">
        <v>75</v>
      </c>
    </row>
    <row r="57" spans="1:54" x14ac:dyDescent="0.2">
      <c r="B57" s="19" t="s">
        <v>326</v>
      </c>
      <c r="C57" s="45" t="s">
        <v>187</v>
      </c>
      <c r="Y57" s="11"/>
      <c r="Z57" s="11"/>
      <c r="AA57" s="11"/>
      <c r="AB57" s="11"/>
      <c r="AC57" s="11"/>
      <c r="AD57" s="11">
        <f ca="1">+AD54+AD55+AD56</f>
        <v>103.83910998065956</v>
      </c>
      <c r="AE57" s="11">
        <f t="shared" ref="AE57:BA57" ca="1" si="45">+AE54+AE55+AE56</f>
        <v>69.847392767979983</v>
      </c>
      <c r="AF57" s="11">
        <f t="shared" ca="1" si="45"/>
        <v>132.74887975407941</v>
      </c>
      <c r="AG57" s="11">
        <f t="shared" ca="1" si="45"/>
        <v>147.97641493049252</v>
      </c>
      <c r="AH57" s="11">
        <f t="shared" ca="1" si="45"/>
        <v>152.68836878034992</v>
      </c>
      <c r="AI57" s="11">
        <f t="shared" ca="1" si="45"/>
        <v>222.31304460074912</v>
      </c>
      <c r="AJ57" s="11">
        <f t="shared" ca="1" si="45"/>
        <v>244.49154222345516</v>
      </c>
      <c r="AK57" s="11">
        <f t="shared" ca="1" si="45"/>
        <v>181.96847426055285</v>
      </c>
      <c r="AL57" s="11">
        <f t="shared" ca="1" si="45"/>
        <v>180.05451317227633</v>
      </c>
      <c r="AM57" s="11">
        <f t="shared" ca="1" si="45"/>
        <v>250.71850892310394</v>
      </c>
      <c r="AN57" s="11">
        <f t="shared" ca="1" si="45"/>
        <v>310.78598006302627</v>
      </c>
      <c r="AO57" s="11">
        <f t="shared" ca="1" si="45"/>
        <v>277.79387802682891</v>
      </c>
      <c r="AP57" s="11">
        <f t="shared" ca="1" si="45"/>
        <v>254.01094757012635</v>
      </c>
      <c r="AQ57" s="11">
        <f t="shared" ca="1" si="45"/>
        <v>311.85264920971213</v>
      </c>
      <c r="AR57" s="11">
        <f t="shared" ca="1" si="45"/>
        <v>361.76643362842015</v>
      </c>
      <c r="AS57" s="11">
        <f t="shared" ca="1" si="45"/>
        <v>309.21969186203364</v>
      </c>
      <c r="AT57" s="11">
        <f t="shared" ca="1" si="45"/>
        <v>260.2990890379391</v>
      </c>
      <c r="AU57" s="11">
        <f t="shared" ca="1" si="45"/>
        <v>305.77045274939263</v>
      </c>
      <c r="AV57" s="11">
        <f t="shared" ca="1" si="45"/>
        <v>363.70922130917165</v>
      </c>
      <c r="AW57" s="11">
        <f t="shared" ca="1" si="45"/>
        <v>308.20032805191227</v>
      </c>
      <c r="AX57" s="11">
        <f t="shared" ca="1" si="45"/>
        <v>255.04219781996389</v>
      </c>
      <c r="AY57" s="11">
        <f t="shared" ca="1" si="45"/>
        <v>307.75339363310485</v>
      </c>
      <c r="AZ57" s="11">
        <f t="shared" ca="1" si="45"/>
        <v>375.69006225420799</v>
      </c>
      <c r="BA57" s="11">
        <f t="shared" ca="1" si="45"/>
        <v>318.49755299445923</v>
      </c>
      <c r="BB57" s="8" t="s">
        <v>75</v>
      </c>
    </row>
    <row r="58" spans="1:54" s="2" customFormat="1" x14ac:dyDescent="0.2">
      <c r="B58" s="2" t="s">
        <v>325</v>
      </c>
      <c r="C58" s="81" t="s">
        <v>187</v>
      </c>
      <c r="Y58" s="13"/>
      <c r="Z58" s="13"/>
      <c r="AA58" s="13"/>
      <c r="AB58" s="13"/>
      <c r="AC58" s="13"/>
      <c r="AD58" s="13">
        <f t="shared" ref="AD58:BA58" ca="1" si="46">+MIN(AD57,AC50)</f>
        <v>0</v>
      </c>
      <c r="AE58" s="13">
        <f t="shared" ca="1" si="46"/>
        <v>0</v>
      </c>
      <c r="AF58" s="13">
        <f t="shared" ca="1" si="46"/>
        <v>0</v>
      </c>
      <c r="AG58" s="13">
        <f t="shared" ca="1" si="46"/>
        <v>0</v>
      </c>
      <c r="AH58" s="13">
        <f t="shared" ca="1" si="46"/>
        <v>0</v>
      </c>
      <c r="AI58" s="13">
        <f t="shared" ca="1" si="46"/>
        <v>0</v>
      </c>
      <c r="AJ58" s="13">
        <f t="shared" ca="1" si="46"/>
        <v>0</v>
      </c>
      <c r="AK58" s="13">
        <f t="shared" ca="1" si="46"/>
        <v>0</v>
      </c>
      <c r="AL58" s="13">
        <f t="shared" ca="1" si="46"/>
        <v>0</v>
      </c>
      <c r="AM58" s="13">
        <f t="shared" ca="1" si="46"/>
        <v>0</v>
      </c>
      <c r="AN58" s="13">
        <f t="shared" ca="1" si="46"/>
        <v>0</v>
      </c>
      <c r="AO58" s="13">
        <f t="shared" ca="1" si="46"/>
        <v>0</v>
      </c>
      <c r="AP58" s="13">
        <f t="shared" ca="1" si="46"/>
        <v>0</v>
      </c>
      <c r="AQ58" s="13">
        <f t="shared" ca="1" si="46"/>
        <v>0</v>
      </c>
      <c r="AR58" s="13">
        <f t="shared" ca="1" si="46"/>
        <v>0</v>
      </c>
      <c r="AS58" s="13">
        <f t="shared" ca="1" si="46"/>
        <v>0</v>
      </c>
      <c r="AT58" s="13">
        <f t="shared" ca="1" si="46"/>
        <v>0</v>
      </c>
      <c r="AU58" s="13">
        <f t="shared" ca="1" si="46"/>
        <v>0</v>
      </c>
      <c r="AV58" s="13">
        <f t="shared" ca="1" si="46"/>
        <v>0</v>
      </c>
      <c r="AW58" s="13">
        <f t="shared" ca="1" si="46"/>
        <v>0</v>
      </c>
      <c r="AX58" s="13">
        <f t="shared" ca="1" si="46"/>
        <v>0</v>
      </c>
      <c r="AY58" s="13">
        <f t="shared" ca="1" si="46"/>
        <v>0</v>
      </c>
      <c r="AZ58" s="13">
        <f t="shared" ca="1" si="46"/>
        <v>0</v>
      </c>
      <c r="BA58" s="13">
        <f t="shared" ca="1" si="46"/>
        <v>0</v>
      </c>
      <c r="BB58" s="8" t="s">
        <v>75</v>
      </c>
    </row>
    <row r="59" spans="1:54" x14ac:dyDescent="0.2">
      <c r="Y59" s="11"/>
      <c r="Z59" s="11"/>
      <c r="AA59" s="11"/>
      <c r="AB59" s="11"/>
      <c r="AC59" s="11"/>
      <c r="BB59" s="8" t="s">
        <v>75</v>
      </c>
    </row>
    <row r="60" spans="1:54" x14ac:dyDescent="0.2">
      <c r="B60" s="1" t="s">
        <v>332</v>
      </c>
      <c r="C60" s="45" t="s">
        <v>187</v>
      </c>
      <c r="Y60" s="46">
        <f>+SUMIFS(Financials!$101:$101,Financials!$3:$3,Y$3)</f>
        <v>45.165999999999997</v>
      </c>
      <c r="Z60" s="46">
        <f>+SUMIFS(Financials!$101:$101,Financials!$3:$3,Z$3)</f>
        <v>149.626</v>
      </c>
      <c r="AA60" s="46">
        <f>+SUMIFS(Financials!$101:$101,Financials!$3:$3,AA$3)</f>
        <v>21.914999999999999</v>
      </c>
      <c r="AB60" s="46">
        <f>+SUMIFS(Financials!$101:$101,Financials!$3:$3,AB$3)</f>
        <v>41.274999999999999</v>
      </c>
      <c r="AC60" s="46">
        <f>+SUMIFS(Financials!$101:$101,Financials!$3:$3,AC$3)</f>
        <v>214.84800000000001</v>
      </c>
      <c r="AD60" s="46">
        <f ca="1">+SUMIFS(Financials!$101:$101,Financials!$3:$3,AD$3)</f>
        <v>153.83910998065954</v>
      </c>
      <c r="AE60" s="46">
        <f ca="1">+SUMIFS(Financials!$101:$101,Financials!$3:$3,AE$3)</f>
        <v>119.84739276797998</v>
      </c>
      <c r="AF60" s="46">
        <f ca="1">+SUMIFS(Financials!$101:$101,Financials!$3:$3,AF$3)</f>
        <v>182.74887975407941</v>
      </c>
      <c r="AG60" s="46">
        <f ca="1">+SUMIFS(Financials!$101:$101,Financials!$3:$3,AG$3)</f>
        <v>197.97641493049252</v>
      </c>
      <c r="AH60" s="46">
        <f ca="1">+SUMIFS(Financials!$101:$101,Financials!$3:$3,AH$3)</f>
        <v>202.68836878034992</v>
      </c>
      <c r="AI60" s="46">
        <f ca="1">+SUMIFS(Financials!$101:$101,Financials!$3:$3,AI$3)</f>
        <v>272.31304460074909</v>
      </c>
      <c r="AJ60" s="46">
        <f ca="1">+SUMIFS(Financials!$101:$101,Financials!$3:$3,AJ$3)</f>
        <v>294.49154222345516</v>
      </c>
      <c r="AK60" s="46">
        <f ca="1">+SUMIFS(Financials!$101:$101,Financials!$3:$3,AK$3)</f>
        <v>231.96847426055285</v>
      </c>
      <c r="AL60" s="46">
        <f ca="1">+SUMIFS(Financials!$101:$101,Financials!$3:$3,AL$3)</f>
        <v>230.05451317227633</v>
      </c>
      <c r="AM60" s="46">
        <f ca="1">+SUMIFS(Financials!$101:$101,Financials!$3:$3,AM$3)</f>
        <v>300.71850892310397</v>
      </c>
      <c r="AN60" s="46">
        <f ca="1">+SUMIFS(Financials!$101:$101,Financials!$3:$3,AN$3)</f>
        <v>360.78598006302627</v>
      </c>
      <c r="AO60" s="46">
        <f ca="1">+SUMIFS(Financials!$101:$101,Financials!$3:$3,AO$3)</f>
        <v>327.79387802682891</v>
      </c>
      <c r="AP60" s="46">
        <f ca="1">+SUMIFS(Financials!$101:$101,Financials!$3:$3,AP$3)</f>
        <v>304.01094757012635</v>
      </c>
      <c r="AQ60" s="46">
        <f ca="1">+SUMIFS(Financials!$101:$101,Financials!$3:$3,AQ$3)</f>
        <v>361.85264920971213</v>
      </c>
      <c r="AR60" s="46">
        <f ca="1">+SUMIFS(Financials!$101:$101,Financials!$3:$3,AR$3)</f>
        <v>411.76643362842015</v>
      </c>
      <c r="AS60" s="46">
        <f ca="1">+SUMIFS(Financials!$101:$101,Financials!$3:$3,AS$3)</f>
        <v>359.21969186203364</v>
      </c>
      <c r="AT60" s="46">
        <f ca="1">+SUMIFS(Financials!$101:$101,Financials!$3:$3,AT$3)</f>
        <v>310.2990890379391</v>
      </c>
      <c r="AU60" s="46">
        <f ca="1">+SUMIFS(Financials!$101:$101,Financials!$3:$3,AU$3)</f>
        <v>355.77045274939263</v>
      </c>
      <c r="AV60" s="46">
        <f ca="1">+SUMIFS(Financials!$101:$101,Financials!$3:$3,AV$3)</f>
        <v>413.70922130917165</v>
      </c>
      <c r="AW60" s="46">
        <f ca="1">+SUMIFS(Financials!$101:$101,Financials!$3:$3,AW$3)</f>
        <v>358.20032805191227</v>
      </c>
      <c r="AX60" s="46">
        <f ca="1">+SUMIFS(Financials!$101:$101,Financials!$3:$3,AX$3)</f>
        <v>305.04219781996392</v>
      </c>
      <c r="AY60" s="46">
        <f ca="1">+SUMIFS(Financials!$101:$101,Financials!$3:$3,AY$3)</f>
        <v>357.75339363310485</v>
      </c>
      <c r="AZ60" s="46">
        <f ca="1">+SUMIFS(Financials!$101:$101,Financials!$3:$3,AZ$3)</f>
        <v>425.69006225420799</v>
      </c>
      <c r="BA60" s="46">
        <f ca="1">+SUMIFS(Financials!$101:$101,Financials!$3:$3,BA$3)</f>
        <v>368.49755299445923</v>
      </c>
      <c r="BB60" s="8" t="s">
        <v>75</v>
      </c>
    </row>
    <row r="61" spans="1:54" x14ac:dyDescent="0.2">
      <c r="B61" s="1" t="s">
        <v>329</v>
      </c>
      <c r="C61" s="45" t="s">
        <v>187</v>
      </c>
      <c r="D61" s="164">
        <v>50</v>
      </c>
      <c r="Y61" s="11">
        <f t="shared" ref="Y61:AD61" si="47">+$D61</f>
        <v>50</v>
      </c>
      <c r="Z61" s="11">
        <f t="shared" si="47"/>
        <v>50</v>
      </c>
      <c r="AA61" s="11">
        <f t="shared" si="47"/>
        <v>50</v>
      </c>
      <c r="AB61" s="11">
        <f t="shared" si="47"/>
        <v>50</v>
      </c>
      <c r="AC61" s="11">
        <f t="shared" si="47"/>
        <v>50</v>
      </c>
      <c r="AD61" s="11">
        <f t="shared" si="47"/>
        <v>50</v>
      </c>
      <c r="AE61" s="11">
        <f t="shared" ref="AE61:BA61" si="48">+$D61</f>
        <v>50</v>
      </c>
      <c r="AF61" s="11">
        <f t="shared" si="48"/>
        <v>50</v>
      </c>
      <c r="AG61" s="11">
        <f t="shared" si="48"/>
        <v>50</v>
      </c>
      <c r="AH61" s="11">
        <f t="shared" si="48"/>
        <v>50</v>
      </c>
      <c r="AI61" s="11">
        <f t="shared" si="48"/>
        <v>50</v>
      </c>
      <c r="AJ61" s="11">
        <f t="shared" si="48"/>
        <v>50</v>
      </c>
      <c r="AK61" s="11">
        <f t="shared" si="48"/>
        <v>50</v>
      </c>
      <c r="AL61" s="11">
        <f t="shared" si="48"/>
        <v>50</v>
      </c>
      <c r="AM61" s="11">
        <f t="shared" si="48"/>
        <v>50</v>
      </c>
      <c r="AN61" s="11">
        <f t="shared" si="48"/>
        <v>50</v>
      </c>
      <c r="AO61" s="11">
        <f t="shared" si="48"/>
        <v>50</v>
      </c>
      <c r="AP61" s="11">
        <f t="shared" si="48"/>
        <v>50</v>
      </c>
      <c r="AQ61" s="11">
        <f t="shared" si="48"/>
        <v>50</v>
      </c>
      <c r="AR61" s="11">
        <f t="shared" si="48"/>
        <v>50</v>
      </c>
      <c r="AS61" s="11">
        <f t="shared" si="48"/>
        <v>50</v>
      </c>
      <c r="AT61" s="11">
        <f t="shared" si="48"/>
        <v>50</v>
      </c>
      <c r="AU61" s="11">
        <f t="shared" si="48"/>
        <v>50</v>
      </c>
      <c r="AV61" s="11">
        <f t="shared" si="48"/>
        <v>50</v>
      </c>
      <c r="AW61" s="11">
        <f t="shared" si="48"/>
        <v>50</v>
      </c>
      <c r="AX61" s="11">
        <f t="shared" si="48"/>
        <v>50</v>
      </c>
      <c r="AY61" s="11">
        <f t="shared" si="48"/>
        <v>50</v>
      </c>
      <c r="AZ61" s="11">
        <f t="shared" si="48"/>
        <v>50</v>
      </c>
      <c r="BA61" s="11">
        <f t="shared" si="48"/>
        <v>50</v>
      </c>
      <c r="BB61" s="8" t="s">
        <v>75</v>
      </c>
    </row>
    <row r="62" spans="1:54" x14ac:dyDescent="0.2">
      <c r="Y62" s="11"/>
      <c r="Z62" s="11"/>
      <c r="AA62" s="11"/>
      <c r="AB62" s="11"/>
      <c r="AC62" s="11"/>
      <c r="BB62" s="8" t="s">
        <v>75</v>
      </c>
    </row>
    <row r="63" spans="1:54" s="35" customFormat="1" x14ac:dyDescent="0.2">
      <c r="A63" s="1" t="s">
        <v>75</v>
      </c>
      <c r="B63" s="36" t="s">
        <v>162</v>
      </c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BB63" s="90" t="s">
        <v>75</v>
      </c>
    </row>
    <row r="64" spans="1:54" x14ac:dyDescent="0.2">
      <c r="B64" s="1" t="s">
        <v>165</v>
      </c>
      <c r="C64" s="45" t="s">
        <v>164</v>
      </c>
      <c r="D64" s="64">
        <f>+Financing!$D$5</f>
        <v>600</v>
      </c>
      <c r="Y64" s="11">
        <f>+$D64</f>
        <v>600</v>
      </c>
      <c r="Z64" s="11">
        <f t="shared" ref="Z64:AE64" si="49">+Y67</f>
        <v>600</v>
      </c>
      <c r="AA64" s="11">
        <f t="shared" si="49"/>
        <v>600</v>
      </c>
      <c r="AB64" s="11">
        <f t="shared" si="49"/>
        <v>600</v>
      </c>
      <c r="AC64" s="11">
        <f t="shared" si="49"/>
        <v>600</v>
      </c>
      <c r="AD64" s="11">
        <f t="shared" si="49"/>
        <v>600</v>
      </c>
      <c r="AE64" s="11">
        <f t="shared" si="49"/>
        <v>175</v>
      </c>
      <c r="AF64" s="11">
        <f t="shared" ref="AF64:AZ64" ca="1" si="50">+AE67</f>
        <v>175</v>
      </c>
      <c r="AG64" s="11">
        <f t="shared" ca="1" si="50"/>
        <v>175</v>
      </c>
      <c r="AH64" s="11">
        <f t="shared" ca="1" si="50"/>
        <v>175</v>
      </c>
      <c r="AI64" s="11">
        <f t="shared" ca="1" si="50"/>
        <v>0</v>
      </c>
      <c r="AJ64" s="11">
        <f t="shared" ca="1" si="50"/>
        <v>0</v>
      </c>
      <c r="AK64" s="11">
        <f t="shared" ca="1" si="50"/>
        <v>0</v>
      </c>
      <c r="AL64" s="11">
        <f t="shared" ca="1" si="50"/>
        <v>0</v>
      </c>
      <c r="AM64" s="11">
        <f t="shared" ca="1" si="50"/>
        <v>0</v>
      </c>
      <c r="AN64" s="11">
        <f t="shared" ca="1" si="50"/>
        <v>0</v>
      </c>
      <c r="AO64" s="11">
        <f t="shared" ca="1" si="50"/>
        <v>0</v>
      </c>
      <c r="AP64" s="11">
        <f t="shared" ca="1" si="50"/>
        <v>0</v>
      </c>
      <c r="AQ64" s="11">
        <f t="shared" ca="1" si="50"/>
        <v>0</v>
      </c>
      <c r="AR64" s="11">
        <f t="shared" ca="1" si="50"/>
        <v>0</v>
      </c>
      <c r="AS64" s="11">
        <f t="shared" ca="1" si="50"/>
        <v>0</v>
      </c>
      <c r="AT64" s="11">
        <f t="shared" ca="1" si="50"/>
        <v>0</v>
      </c>
      <c r="AU64" s="11">
        <f t="shared" ca="1" si="50"/>
        <v>0</v>
      </c>
      <c r="AV64" s="11">
        <f t="shared" ca="1" si="50"/>
        <v>0</v>
      </c>
      <c r="AW64" s="11">
        <f t="shared" ca="1" si="50"/>
        <v>0</v>
      </c>
      <c r="AX64" s="11">
        <f t="shared" ca="1" si="50"/>
        <v>0</v>
      </c>
      <c r="AY64" s="11">
        <f t="shared" ca="1" si="50"/>
        <v>0</v>
      </c>
      <c r="AZ64" s="11">
        <f t="shared" ca="1" si="50"/>
        <v>0</v>
      </c>
      <c r="BA64" s="11">
        <f ca="1">+AZ67</f>
        <v>0</v>
      </c>
      <c r="BB64" s="8" t="s">
        <v>75</v>
      </c>
    </row>
    <row r="65" spans="1:54" x14ac:dyDescent="0.2">
      <c r="B65" s="1" t="s">
        <v>166</v>
      </c>
      <c r="C65" s="45" t="s">
        <v>164</v>
      </c>
      <c r="Y65" s="12">
        <v>0</v>
      </c>
      <c r="Z65" s="12">
        <v>0</v>
      </c>
      <c r="AA65" s="12">
        <v>0</v>
      </c>
      <c r="AB65" s="12">
        <v>0</v>
      </c>
      <c r="AC65" s="12">
        <v>0</v>
      </c>
      <c r="AD65" s="12">
        <v>0</v>
      </c>
      <c r="AE65" s="12">
        <v>0</v>
      </c>
      <c r="AF65" s="12">
        <v>0</v>
      </c>
      <c r="AG65" s="12">
        <v>0</v>
      </c>
      <c r="AH65" s="12">
        <v>0</v>
      </c>
      <c r="AI65" s="12">
        <v>0</v>
      </c>
      <c r="AJ65" s="12">
        <v>0</v>
      </c>
      <c r="AK65" s="12">
        <v>0</v>
      </c>
      <c r="AL65" s="12">
        <v>0</v>
      </c>
      <c r="AM65" s="12">
        <v>0</v>
      </c>
      <c r="AN65" s="12">
        <v>0</v>
      </c>
      <c r="AO65" s="12">
        <v>0</v>
      </c>
      <c r="AP65" s="12">
        <v>0</v>
      </c>
      <c r="AQ65" s="12">
        <v>0</v>
      </c>
      <c r="AR65" s="12">
        <v>0</v>
      </c>
      <c r="AS65" s="12">
        <v>0</v>
      </c>
      <c r="AT65" s="12">
        <v>0</v>
      </c>
      <c r="AU65" s="12">
        <v>0</v>
      </c>
      <c r="AV65" s="12">
        <v>0</v>
      </c>
      <c r="AW65" s="12">
        <v>0</v>
      </c>
      <c r="AX65" s="12">
        <v>0</v>
      </c>
      <c r="AY65" s="12">
        <v>0</v>
      </c>
      <c r="AZ65" s="12">
        <v>0</v>
      </c>
      <c r="BA65" s="12">
        <v>0</v>
      </c>
      <c r="BB65" s="8" t="s">
        <v>75</v>
      </c>
    </row>
    <row r="66" spans="1:54" x14ac:dyDescent="0.2">
      <c r="B66" s="1" t="s">
        <v>169</v>
      </c>
      <c r="C66" s="45" t="s">
        <v>164</v>
      </c>
      <c r="D66" s="47" t="str">
        <f>+Financing!$D$7</f>
        <v>1Q25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>
        <v>-425</v>
      </c>
      <c r="AE66" s="11">
        <f t="shared" ref="AE66:BA66" ca="1" si="51">+IF($D66=AE$3,-AE64,0)-AE9*MIN(AE115,AE64)</f>
        <v>0</v>
      </c>
      <c r="AF66" s="11">
        <f t="shared" ca="1" si="51"/>
        <v>0</v>
      </c>
      <c r="AG66" s="11">
        <f t="shared" ca="1" si="51"/>
        <v>0</v>
      </c>
      <c r="AH66" s="11">
        <f t="shared" ca="1" si="51"/>
        <v>-175</v>
      </c>
      <c r="AI66" s="11">
        <f t="shared" ca="1" si="51"/>
        <v>0</v>
      </c>
      <c r="AJ66" s="11">
        <f t="shared" ca="1" si="51"/>
        <v>0</v>
      </c>
      <c r="AK66" s="11">
        <f t="shared" ca="1" si="51"/>
        <v>0</v>
      </c>
      <c r="AL66" s="11">
        <f t="shared" ca="1" si="51"/>
        <v>0</v>
      </c>
      <c r="AM66" s="11">
        <f t="shared" ca="1" si="51"/>
        <v>0</v>
      </c>
      <c r="AN66" s="11">
        <f t="shared" ca="1" si="51"/>
        <v>0</v>
      </c>
      <c r="AO66" s="11">
        <f t="shared" ca="1" si="51"/>
        <v>0</v>
      </c>
      <c r="AP66" s="11">
        <f t="shared" ca="1" si="51"/>
        <v>0</v>
      </c>
      <c r="AQ66" s="11">
        <f t="shared" ca="1" si="51"/>
        <v>0</v>
      </c>
      <c r="AR66" s="11">
        <f t="shared" ca="1" si="51"/>
        <v>0</v>
      </c>
      <c r="AS66" s="11">
        <f t="shared" ca="1" si="51"/>
        <v>0</v>
      </c>
      <c r="AT66" s="11">
        <f t="shared" ca="1" si="51"/>
        <v>0</v>
      </c>
      <c r="AU66" s="11">
        <f t="shared" ca="1" si="51"/>
        <v>0</v>
      </c>
      <c r="AV66" s="11">
        <f t="shared" ca="1" si="51"/>
        <v>0</v>
      </c>
      <c r="AW66" s="11">
        <f t="shared" ca="1" si="51"/>
        <v>0</v>
      </c>
      <c r="AX66" s="11">
        <f t="shared" ca="1" si="51"/>
        <v>0</v>
      </c>
      <c r="AY66" s="11">
        <f t="shared" ca="1" si="51"/>
        <v>0</v>
      </c>
      <c r="AZ66" s="11">
        <f t="shared" ca="1" si="51"/>
        <v>0</v>
      </c>
      <c r="BA66" s="11">
        <f t="shared" ca="1" si="51"/>
        <v>0</v>
      </c>
      <c r="BB66" s="8" t="s">
        <v>75</v>
      </c>
    </row>
    <row r="67" spans="1:54" x14ac:dyDescent="0.2">
      <c r="B67" s="1" t="s">
        <v>167</v>
      </c>
      <c r="C67" s="45" t="s">
        <v>164</v>
      </c>
      <c r="Y67" s="11">
        <f>+Y64+Y65+Y66</f>
        <v>600</v>
      </c>
      <c r="Z67" s="11">
        <f t="shared" ref="Z67:BA67" si="52">+Z64+Z65+Z66</f>
        <v>600</v>
      </c>
      <c r="AA67" s="11">
        <f t="shared" si="52"/>
        <v>600</v>
      </c>
      <c r="AB67" s="11">
        <f t="shared" si="52"/>
        <v>600</v>
      </c>
      <c r="AC67" s="11">
        <f t="shared" si="52"/>
        <v>600</v>
      </c>
      <c r="AD67" s="11">
        <f t="shared" si="52"/>
        <v>175</v>
      </c>
      <c r="AE67" s="11">
        <f t="shared" ca="1" si="52"/>
        <v>175</v>
      </c>
      <c r="AF67" s="11">
        <f t="shared" ca="1" si="52"/>
        <v>175</v>
      </c>
      <c r="AG67" s="11">
        <f t="shared" ca="1" si="52"/>
        <v>175</v>
      </c>
      <c r="AH67" s="11">
        <f t="shared" ca="1" si="52"/>
        <v>0</v>
      </c>
      <c r="AI67" s="11">
        <f t="shared" ca="1" si="52"/>
        <v>0</v>
      </c>
      <c r="AJ67" s="11">
        <f t="shared" ca="1" si="52"/>
        <v>0</v>
      </c>
      <c r="AK67" s="11">
        <f t="shared" ca="1" si="52"/>
        <v>0</v>
      </c>
      <c r="AL67" s="11">
        <f t="shared" ca="1" si="52"/>
        <v>0</v>
      </c>
      <c r="AM67" s="11">
        <f t="shared" ca="1" si="52"/>
        <v>0</v>
      </c>
      <c r="AN67" s="11">
        <f t="shared" ca="1" si="52"/>
        <v>0</v>
      </c>
      <c r="AO67" s="11">
        <f t="shared" ca="1" si="52"/>
        <v>0</v>
      </c>
      <c r="AP67" s="11">
        <f t="shared" ca="1" si="52"/>
        <v>0</v>
      </c>
      <c r="AQ67" s="11">
        <f t="shared" ca="1" si="52"/>
        <v>0</v>
      </c>
      <c r="AR67" s="11">
        <f t="shared" ca="1" si="52"/>
        <v>0</v>
      </c>
      <c r="AS67" s="11">
        <f t="shared" ca="1" si="52"/>
        <v>0</v>
      </c>
      <c r="AT67" s="11">
        <f t="shared" ca="1" si="52"/>
        <v>0</v>
      </c>
      <c r="AU67" s="11">
        <f t="shared" ca="1" si="52"/>
        <v>0</v>
      </c>
      <c r="AV67" s="11">
        <f t="shared" ca="1" si="52"/>
        <v>0</v>
      </c>
      <c r="AW67" s="11">
        <f t="shared" ca="1" si="52"/>
        <v>0</v>
      </c>
      <c r="AX67" s="11">
        <f t="shared" ca="1" si="52"/>
        <v>0</v>
      </c>
      <c r="AY67" s="11">
        <f t="shared" ca="1" si="52"/>
        <v>0</v>
      </c>
      <c r="AZ67" s="11">
        <f t="shared" ca="1" si="52"/>
        <v>0</v>
      </c>
      <c r="BA67" s="11">
        <f t="shared" ca="1" si="52"/>
        <v>0</v>
      </c>
      <c r="BB67" s="8" t="s">
        <v>75</v>
      </c>
    </row>
    <row r="68" spans="1:54" x14ac:dyDescent="0.2">
      <c r="BB68" s="8" t="s">
        <v>75</v>
      </c>
    </row>
    <row r="69" spans="1:54" x14ac:dyDescent="0.2">
      <c r="B69" s="1" t="s">
        <v>165</v>
      </c>
      <c r="C69" s="45" t="s">
        <v>187</v>
      </c>
      <c r="Z69" s="11">
        <f t="shared" ref="Z69:BA69" si="53">+Y73</f>
        <v>2454.0439999999999</v>
      </c>
      <c r="AA69" s="11">
        <f t="shared" si="53"/>
        <v>3096.5479999999998</v>
      </c>
      <c r="AB69" s="11">
        <f t="shared" si="53"/>
        <v>3245.991</v>
      </c>
      <c r="AC69" s="11">
        <f t="shared" si="53"/>
        <v>3262.8820000000001</v>
      </c>
      <c r="AD69" s="11">
        <f t="shared" si="53"/>
        <v>3054.1819999999998</v>
      </c>
      <c r="AE69" s="11">
        <f t="shared" ca="1" si="53"/>
        <v>985.25</v>
      </c>
      <c r="AF69" s="11">
        <f t="shared" ca="1" si="53"/>
        <v>990.1517412935325</v>
      </c>
      <c r="AG69" s="11">
        <f t="shared" ca="1" si="53"/>
        <v>995.07786935966953</v>
      </c>
      <c r="AH69" s="11">
        <f t="shared" ca="1" si="53"/>
        <v>1000.0285055256383</v>
      </c>
      <c r="AI69" s="11">
        <f t="shared" ca="1" si="53"/>
        <v>0</v>
      </c>
      <c r="AJ69" s="11">
        <f t="shared" ca="1" si="53"/>
        <v>0</v>
      </c>
      <c r="AK69" s="11">
        <f t="shared" ca="1" si="53"/>
        <v>0</v>
      </c>
      <c r="AL69" s="11">
        <f t="shared" ca="1" si="53"/>
        <v>0</v>
      </c>
      <c r="AM69" s="11">
        <f t="shared" ca="1" si="53"/>
        <v>0</v>
      </c>
      <c r="AN69" s="11">
        <f t="shared" ca="1" si="53"/>
        <v>0</v>
      </c>
      <c r="AO69" s="11">
        <f t="shared" ca="1" si="53"/>
        <v>0</v>
      </c>
      <c r="AP69" s="11">
        <f t="shared" ca="1" si="53"/>
        <v>0</v>
      </c>
      <c r="AQ69" s="11">
        <f t="shared" ca="1" si="53"/>
        <v>0</v>
      </c>
      <c r="AR69" s="11">
        <f t="shared" ca="1" si="53"/>
        <v>0</v>
      </c>
      <c r="AS69" s="11">
        <f t="shared" ca="1" si="53"/>
        <v>0</v>
      </c>
      <c r="AT69" s="11">
        <f t="shared" ca="1" si="53"/>
        <v>0</v>
      </c>
      <c r="AU69" s="11">
        <f t="shared" ca="1" si="53"/>
        <v>0</v>
      </c>
      <c r="AV69" s="11">
        <f t="shared" ca="1" si="53"/>
        <v>0</v>
      </c>
      <c r="AW69" s="11">
        <f t="shared" ca="1" si="53"/>
        <v>0</v>
      </c>
      <c r="AX69" s="11">
        <f t="shared" ca="1" si="53"/>
        <v>0</v>
      </c>
      <c r="AY69" s="11">
        <f t="shared" ca="1" si="53"/>
        <v>0</v>
      </c>
      <c r="AZ69" s="11">
        <f t="shared" ca="1" si="53"/>
        <v>0</v>
      </c>
      <c r="BA69" s="11">
        <f t="shared" ca="1" si="53"/>
        <v>0</v>
      </c>
      <c r="BB69" s="8" t="s">
        <v>75</v>
      </c>
    </row>
    <row r="70" spans="1:54" x14ac:dyDescent="0.2">
      <c r="B70" s="1" t="s">
        <v>166</v>
      </c>
      <c r="C70" s="45" t="s">
        <v>187</v>
      </c>
      <c r="Z70" s="11">
        <f t="shared" ref="Z70:BA70" si="54">+Z65*Z$78</f>
        <v>0</v>
      </c>
      <c r="AA70" s="11">
        <f t="shared" si="54"/>
        <v>0</v>
      </c>
      <c r="AB70" s="11">
        <f t="shared" si="54"/>
        <v>0</v>
      </c>
      <c r="AC70" s="11">
        <f t="shared" si="54"/>
        <v>0</v>
      </c>
      <c r="AD70" s="11">
        <f t="shared" ca="1" si="54"/>
        <v>0</v>
      </c>
      <c r="AE70" s="11">
        <f t="shared" ca="1" si="54"/>
        <v>0</v>
      </c>
      <c r="AF70" s="11">
        <f t="shared" ca="1" si="54"/>
        <v>0</v>
      </c>
      <c r="AG70" s="11">
        <f t="shared" ca="1" si="54"/>
        <v>0</v>
      </c>
      <c r="AH70" s="11">
        <f t="shared" ca="1" si="54"/>
        <v>0</v>
      </c>
      <c r="AI70" s="11">
        <f t="shared" ca="1" si="54"/>
        <v>0</v>
      </c>
      <c r="AJ70" s="11">
        <f t="shared" ca="1" si="54"/>
        <v>0</v>
      </c>
      <c r="AK70" s="11">
        <f t="shared" ca="1" si="54"/>
        <v>0</v>
      </c>
      <c r="AL70" s="11">
        <f t="shared" ca="1" si="54"/>
        <v>0</v>
      </c>
      <c r="AM70" s="11">
        <f t="shared" ca="1" si="54"/>
        <v>0</v>
      </c>
      <c r="AN70" s="11">
        <f t="shared" ca="1" si="54"/>
        <v>0</v>
      </c>
      <c r="AO70" s="11">
        <f t="shared" ca="1" si="54"/>
        <v>0</v>
      </c>
      <c r="AP70" s="11">
        <f t="shared" ca="1" si="54"/>
        <v>0</v>
      </c>
      <c r="AQ70" s="11">
        <f t="shared" ca="1" si="54"/>
        <v>0</v>
      </c>
      <c r="AR70" s="11">
        <f t="shared" ca="1" si="54"/>
        <v>0</v>
      </c>
      <c r="AS70" s="11">
        <f t="shared" ca="1" si="54"/>
        <v>0</v>
      </c>
      <c r="AT70" s="11">
        <f t="shared" ca="1" si="54"/>
        <v>0</v>
      </c>
      <c r="AU70" s="11">
        <f t="shared" ca="1" si="54"/>
        <v>0</v>
      </c>
      <c r="AV70" s="11">
        <f t="shared" ca="1" si="54"/>
        <v>0</v>
      </c>
      <c r="AW70" s="11">
        <f t="shared" ca="1" si="54"/>
        <v>0</v>
      </c>
      <c r="AX70" s="11">
        <f t="shared" ca="1" si="54"/>
        <v>0</v>
      </c>
      <c r="AY70" s="11">
        <f t="shared" ca="1" si="54"/>
        <v>0</v>
      </c>
      <c r="AZ70" s="11">
        <f t="shared" ca="1" si="54"/>
        <v>0</v>
      </c>
      <c r="BA70" s="11">
        <f t="shared" ca="1" si="54"/>
        <v>0</v>
      </c>
      <c r="BB70" s="8" t="s">
        <v>75</v>
      </c>
    </row>
    <row r="71" spans="1:54" x14ac:dyDescent="0.2">
      <c r="B71" s="1" t="s">
        <v>169</v>
      </c>
      <c r="C71" s="45" t="s">
        <v>187</v>
      </c>
      <c r="Z71" s="11">
        <f t="shared" ref="Z71:BA71" si="55">+Z66*Z$78</f>
        <v>0</v>
      </c>
      <c r="AA71" s="11">
        <f t="shared" si="55"/>
        <v>0</v>
      </c>
      <c r="AB71" s="11">
        <f t="shared" si="55"/>
        <v>0</v>
      </c>
      <c r="AC71" s="11">
        <f t="shared" si="55"/>
        <v>0</v>
      </c>
      <c r="AD71" s="11">
        <f t="shared" ca="1" si="55"/>
        <v>-2392.75</v>
      </c>
      <c r="AE71" s="11">
        <f t="shared" ca="1" si="55"/>
        <v>0</v>
      </c>
      <c r="AF71" s="11">
        <f t="shared" ca="1" si="55"/>
        <v>0</v>
      </c>
      <c r="AG71" s="11">
        <f t="shared" ca="1" si="55"/>
        <v>0</v>
      </c>
      <c r="AH71" s="11">
        <f t="shared" ca="1" si="55"/>
        <v>-1005.0037717222833</v>
      </c>
      <c r="AI71" s="11">
        <f t="shared" ca="1" si="55"/>
        <v>0</v>
      </c>
      <c r="AJ71" s="11">
        <f t="shared" ca="1" si="55"/>
        <v>0</v>
      </c>
      <c r="AK71" s="11">
        <f t="shared" ca="1" si="55"/>
        <v>0</v>
      </c>
      <c r="AL71" s="11">
        <f t="shared" ca="1" si="55"/>
        <v>0</v>
      </c>
      <c r="AM71" s="11">
        <f t="shared" ca="1" si="55"/>
        <v>0</v>
      </c>
      <c r="AN71" s="11">
        <f t="shared" ca="1" si="55"/>
        <v>0</v>
      </c>
      <c r="AO71" s="11">
        <f t="shared" ca="1" si="55"/>
        <v>0</v>
      </c>
      <c r="AP71" s="11">
        <f t="shared" ca="1" si="55"/>
        <v>0</v>
      </c>
      <c r="AQ71" s="11">
        <f t="shared" ca="1" si="55"/>
        <v>0</v>
      </c>
      <c r="AR71" s="11">
        <f t="shared" ca="1" si="55"/>
        <v>0</v>
      </c>
      <c r="AS71" s="11">
        <f t="shared" ca="1" si="55"/>
        <v>0</v>
      </c>
      <c r="AT71" s="11">
        <f t="shared" ca="1" si="55"/>
        <v>0</v>
      </c>
      <c r="AU71" s="11">
        <f t="shared" ca="1" si="55"/>
        <v>0</v>
      </c>
      <c r="AV71" s="11">
        <f t="shared" ca="1" si="55"/>
        <v>0</v>
      </c>
      <c r="AW71" s="11">
        <f t="shared" ca="1" si="55"/>
        <v>0</v>
      </c>
      <c r="AX71" s="11">
        <f t="shared" ca="1" si="55"/>
        <v>0</v>
      </c>
      <c r="AY71" s="11">
        <f t="shared" ca="1" si="55"/>
        <v>0</v>
      </c>
      <c r="AZ71" s="11">
        <f t="shared" ca="1" si="55"/>
        <v>0</v>
      </c>
      <c r="BA71" s="11">
        <f t="shared" ca="1" si="55"/>
        <v>0</v>
      </c>
      <c r="BB71" s="8" t="s">
        <v>75</v>
      </c>
    </row>
    <row r="72" spans="1:54" x14ac:dyDescent="0.2">
      <c r="B72" s="1" t="s">
        <v>194</v>
      </c>
      <c r="C72" s="45" t="s">
        <v>187</v>
      </c>
      <c r="Z72" s="11">
        <f>+Z73-Z69-Z70-Z71</f>
        <v>642.50399999999991</v>
      </c>
      <c r="AA72" s="11">
        <f>+AA73-AA69-AA70-AA71</f>
        <v>149.44300000000021</v>
      </c>
      <c r="AB72" s="11">
        <f>+AB73-AB69-AB70-AB71</f>
        <v>16.891000000000076</v>
      </c>
      <c r="AC72" s="11">
        <f>+AC73-AC69-AC70-AC71</f>
        <v>-208.70000000000027</v>
      </c>
      <c r="AD72" s="11">
        <f ca="1">+AD73-AD69-AD70-AD71</f>
        <v>323.81800000000021</v>
      </c>
      <c r="AE72" s="11">
        <f t="shared" ref="AE72:BA72" ca="1" si="56">+AE73-AE69-AE70-AE71</f>
        <v>4.9017412935324955</v>
      </c>
      <c r="AF72" s="11">
        <f t="shared" ca="1" si="56"/>
        <v>4.9261280661370392</v>
      </c>
      <c r="AG72" s="11">
        <f t="shared" ca="1" si="56"/>
        <v>4.9506361659687173</v>
      </c>
      <c r="AH72" s="11">
        <f t="shared" ca="1" si="56"/>
        <v>4.975266196645066</v>
      </c>
      <c r="AI72" s="11">
        <f t="shared" ca="1" si="56"/>
        <v>0</v>
      </c>
      <c r="AJ72" s="11">
        <f t="shared" ca="1" si="56"/>
        <v>0</v>
      </c>
      <c r="AK72" s="11">
        <f t="shared" ca="1" si="56"/>
        <v>0</v>
      </c>
      <c r="AL72" s="11">
        <f t="shared" ca="1" si="56"/>
        <v>0</v>
      </c>
      <c r="AM72" s="11">
        <f t="shared" ca="1" si="56"/>
        <v>0</v>
      </c>
      <c r="AN72" s="11">
        <f t="shared" ca="1" si="56"/>
        <v>0</v>
      </c>
      <c r="AO72" s="11">
        <f t="shared" ca="1" si="56"/>
        <v>0</v>
      </c>
      <c r="AP72" s="11">
        <f t="shared" ca="1" si="56"/>
        <v>0</v>
      </c>
      <c r="AQ72" s="11">
        <f t="shared" ca="1" si="56"/>
        <v>0</v>
      </c>
      <c r="AR72" s="11">
        <f t="shared" ca="1" si="56"/>
        <v>0</v>
      </c>
      <c r="AS72" s="11">
        <f t="shared" ca="1" si="56"/>
        <v>0</v>
      </c>
      <c r="AT72" s="11">
        <f t="shared" ca="1" si="56"/>
        <v>0</v>
      </c>
      <c r="AU72" s="11">
        <f t="shared" ca="1" si="56"/>
        <v>0</v>
      </c>
      <c r="AV72" s="11">
        <f t="shared" ca="1" si="56"/>
        <v>0</v>
      </c>
      <c r="AW72" s="11">
        <f t="shared" ca="1" si="56"/>
        <v>0</v>
      </c>
      <c r="AX72" s="11">
        <f t="shared" ca="1" si="56"/>
        <v>0</v>
      </c>
      <c r="AY72" s="11">
        <f t="shared" ca="1" si="56"/>
        <v>0</v>
      </c>
      <c r="AZ72" s="11">
        <f t="shared" ca="1" si="56"/>
        <v>0</v>
      </c>
      <c r="BA72" s="11">
        <f t="shared" ca="1" si="56"/>
        <v>0</v>
      </c>
      <c r="BB72" s="8" t="s">
        <v>75</v>
      </c>
    </row>
    <row r="73" spans="1:54" x14ac:dyDescent="0.2">
      <c r="B73" s="1" t="s">
        <v>167</v>
      </c>
      <c r="C73" s="45" t="s">
        <v>187</v>
      </c>
      <c r="Y73" s="12">
        <v>2454.0439999999999</v>
      </c>
      <c r="Z73" s="12">
        <v>3096.5479999999998</v>
      </c>
      <c r="AA73" s="12">
        <v>3245.991</v>
      </c>
      <c r="AB73" s="12">
        <v>3262.8820000000001</v>
      </c>
      <c r="AC73" s="12">
        <v>3054.1819999999998</v>
      </c>
      <c r="AD73" s="11">
        <f t="shared" ref="AD73:BA73" ca="1" si="57">+AD67*AD78</f>
        <v>985.25</v>
      </c>
      <c r="AE73" s="11">
        <f t="shared" ca="1" si="57"/>
        <v>990.1517412935325</v>
      </c>
      <c r="AF73" s="11">
        <f t="shared" ca="1" si="57"/>
        <v>995.07786935966953</v>
      </c>
      <c r="AG73" s="11">
        <f t="shared" ca="1" si="57"/>
        <v>1000.0285055256383</v>
      </c>
      <c r="AH73" s="11">
        <f t="shared" ca="1" si="57"/>
        <v>0</v>
      </c>
      <c r="AI73" s="11">
        <f t="shared" ca="1" si="57"/>
        <v>0</v>
      </c>
      <c r="AJ73" s="11">
        <f t="shared" ca="1" si="57"/>
        <v>0</v>
      </c>
      <c r="AK73" s="11">
        <f t="shared" ca="1" si="57"/>
        <v>0</v>
      </c>
      <c r="AL73" s="11">
        <f t="shared" ca="1" si="57"/>
        <v>0</v>
      </c>
      <c r="AM73" s="11">
        <f t="shared" ca="1" si="57"/>
        <v>0</v>
      </c>
      <c r="AN73" s="11">
        <f t="shared" ca="1" si="57"/>
        <v>0</v>
      </c>
      <c r="AO73" s="11">
        <f t="shared" ca="1" si="57"/>
        <v>0</v>
      </c>
      <c r="AP73" s="11">
        <f t="shared" ca="1" si="57"/>
        <v>0</v>
      </c>
      <c r="AQ73" s="11">
        <f t="shared" ca="1" si="57"/>
        <v>0</v>
      </c>
      <c r="AR73" s="11">
        <f t="shared" ca="1" si="57"/>
        <v>0</v>
      </c>
      <c r="AS73" s="11">
        <f t="shared" ca="1" si="57"/>
        <v>0</v>
      </c>
      <c r="AT73" s="11">
        <f t="shared" ca="1" si="57"/>
        <v>0</v>
      </c>
      <c r="AU73" s="11">
        <f t="shared" ca="1" si="57"/>
        <v>0</v>
      </c>
      <c r="AV73" s="11">
        <f t="shared" ca="1" si="57"/>
        <v>0</v>
      </c>
      <c r="AW73" s="11">
        <f t="shared" ca="1" si="57"/>
        <v>0</v>
      </c>
      <c r="AX73" s="11">
        <f t="shared" ca="1" si="57"/>
        <v>0</v>
      </c>
      <c r="AY73" s="11">
        <f t="shared" ca="1" si="57"/>
        <v>0</v>
      </c>
      <c r="AZ73" s="11">
        <f t="shared" ca="1" si="57"/>
        <v>0</v>
      </c>
      <c r="BA73" s="11">
        <f t="shared" ca="1" si="57"/>
        <v>0</v>
      </c>
      <c r="BB73" s="8" t="s">
        <v>75</v>
      </c>
    </row>
    <row r="74" spans="1:54" x14ac:dyDescent="0.2">
      <c r="BB74" s="8" t="s">
        <v>75</v>
      </c>
    </row>
    <row r="75" spans="1:54" x14ac:dyDescent="0.2">
      <c r="B75" s="1" t="s">
        <v>175</v>
      </c>
      <c r="C75" s="45" t="s">
        <v>164</v>
      </c>
      <c r="D75" s="48">
        <f>+Financing!$D$6</f>
        <v>5.9499999999999997E-2</v>
      </c>
      <c r="Y75" s="11">
        <f t="shared" ref="Y75:BA75" si="58">-IF(Circ=1,AVERAGE(Y67,Y64)*$D75/4,Y64*$D75/4)</f>
        <v>-8.9249999999999989</v>
      </c>
      <c r="Z75" s="11">
        <f t="shared" si="58"/>
        <v>-8.9249999999999989</v>
      </c>
      <c r="AA75" s="11">
        <f t="shared" si="58"/>
        <v>-8.9249999999999989</v>
      </c>
      <c r="AB75" s="11">
        <f t="shared" si="58"/>
        <v>-8.9249999999999989</v>
      </c>
      <c r="AC75" s="11">
        <f t="shared" si="58"/>
        <v>-8.9249999999999989</v>
      </c>
      <c r="AD75" s="11">
        <f t="shared" si="58"/>
        <v>-5.7640624999999996</v>
      </c>
      <c r="AE75" s="11">
        <f t="shared" ca="1" si="58"/>
        <v>-2.6031249999999999</v>
      </c>
      <c r="AF75" s="11">
        <f t="shared" ca="1" si="58"/>
        <v>-2.6031249999999999</v>
      </c>
      <c r="AG75" s="11">
        <f t="shared" ca="1" si="58"/>
        <v>-2.6031249999999999</v>
      </c>
      <c r="AH75" s="11">
        <f t="shared" ca="1" si="58"/>
        <v>-1.3015625</v>
      </c>
      <c r="AI75" s="11">
        <f t="shared" ca="1" si="58"/>
        <v>0</v>
      </c>
      <c r="AJ75" s="11">
        <f t="shared" ca="1" si="58"/>
        <v>0</v>
      </c>
      <c r="AK75" s="11">
        <f t="shared" ca="1" si="58"/>
        <v>0</v>
      </c>
      <c r="AL75" s="11">
        <f t="shared" ca="1" si="58"/>
        <v>0</v>
      </c>
      <c r="AM75" s="11">
        <f t="shared" ca="1" si="58"/>
        <v>0</v>
      </c>
      <c r="AN75" s="11">
        <f t="shared" ca="1" si="58"/>
        <v>0</v>
      </c>
      <c r="AO75" s="11">
        <f t="shared" ca="1" si="58"/>
        <v>0</v>
      </c>
      <c r="AP75" s="11">
        <f t="shared" ca="1" si="58"/>
        <v>0</v>
      </c>
      <c r="AQ75" s="11">
        <f t="shared" ca="1" si="58"/>
        <v>0</v>
      </c>
      <c r="AR75" s="11">
        <f t="shared" ca="1" si="58"/>
        <v>0</v>
      </c>
      <c r="AS75" s="11">
        <f t="shared" ca="1" si="58"/>
        <v>0</v>
      </c>
      <c r="AT75" s="11">
        <f t="shared" ca="1" si="58"/>
        <v>0</v>
      </c>
      <c r="AU75" s="11">
        <f t="shared" ca="1" si="58"/>
        <v>0</v>
      </c>
      <c r="AV75" s="11">
        <f t="shared" ca="1" si="58"/>
        <v>0</v>
      </c>
      <c r="AW75" s="11">
        <f t="shared" ca="1" si="58"/>
        <v>0</v>
      </c>
      <c r="AX75" s="11">
        <f t="shared" ca="1" si="58"/>
        <v>0</v>
      </c>
      <c r="AY75" s="11">
        <f t="shared" ca="1" si="58"/>
        <v>0</v>
      </c>
      <c r="AZ75" s="11">
        <f t="shared" ca="1" si="58"/>
        <v>0</v>
      </c>
      <c r="BA75" s="11">
        <f t="shared" ca="1" si="58"/>
        <v>0</v>
      </c>
      <c r="BB75" s="8" t="s">
        <v>75</v>
      </c>
    </row>
    <row r="76" spans="1:54" x14ac:dyDescent="0.2">
      <c r="B76" s="1" t="s">
        <v>175</v>
      </c>
      <c r="C76" s="45" t="s">
        <v>187</v>
      </c>
      <c r="D76" s="48"/>
      <c r="Y76" s="11">
        <f t="shared" ref="Y76:BA76" ca="1" si="59">+Y75*Y$13</f>
        <v>-36.736513242187499</v>
      </c>
      <c r="Z76" s="11">
        <f t="shared" ca="1" si="59"/>
        <v>-39.917494354838709</v>
      </c>
      <c r="AA76" s="11">
        <f t="shared" ca="1" si="59"/>
        <v>-48.066962827868842</v>
      </c>
      <c r="AB76" s="11">
        <f t="shared" ca="1" si="59"/>
        <v>-48.018010384615366</v>
      </c>
      <c r="AC76" s="11">
        <f t="shared" ca="1" si="59"/>
        <v>-48.150686666666665</v>
      </c>
      <c r="AD76" s="11">
        <f t="shared" ca="1" si="59"/>
        <v>-31.068979461348686</v>
      </c>
      <c r="AE76" s="11">
        <f t="shared" ca="1" si="59"/>
        <v>-14.692050450870648</v>
      </c>
      <c r="AF76" s="11">
        <f t="shared" ca="1" si="59"/>
        <v>-14.765145229233191</v>
      </c>
      <c r="AG76" s="11">
        <f t="shared" ca="1" si="59"/>
        <v>-14.838603663209474</v>
      </c>
      <c r="AH76" s="11">
        <f t="shared" ca="1" si="59"/>
        <v>-7.4562137810157081</v>
      </c>
      <c r="AI76" s="11">
        <f t="shared" ca="1" si="59"/>
        <v>0</v>
      </c>
      <c r="AJ76" s="11">
        <f t="shared" ca="1" si="59"/>
        <v>0</v>
      </c>
      <c r="AK76" s="11">
        <f t="shared" ca="1" si="59"/>
        <v>0</v>
      </c>
      <c r="AL76" s="11">
        <f t="shared" ca="1" si="59"/>
        <v>0</v>
      </c>
      <c r="AM76" s="11">
        <f t="shared" ca="1" si="59"/>
        <v>0</v>
      </c>
      <c r="AN76" s="11">
        <f t="shared" ca="1" si="59"/>
        <v>0</v>
      </c>
      <c r="AO76" s="11">
        <f t="shared" ca="1" si="59"/>
        <v>0</v>
      </c>
      <c r="AP76" s="11">
        <f t="shared" ca="1" si="59"/>
        <v>0</v>
      </c>
      <c r="AQ76" s="11">
        <f t="shared" ca="1" si="59"/>
        <v>0</v>
      </c>
      <c r="AR76" s="11">
        <f t="shared" ca="1" si="59"/>
        <v>0</v>
      </c>
      <c r="AS76" s="11">
        <f t="shared" ca="1" si="59"/>
        <v>0</v>
      </c>
      <c r="AT76" s="11">
        <f t="shared" ca="1" si="59"/>
        <v>0</v>
      </c>
      <c r="AU76" s="11">
        <f t="shared" ca="1" si="59"/>
        <v>0</v>
      </c>
      <c r="AV76" s="11">
        <f t="shared" ca="1" si="59"/>
        <v>0</v>
      </c>
      <c r="AW76" s="11">
        <f t="shared" ca="1" si="59"/>
        <v>0</v>
      </c>
      <c r="AX76" s="11">
        <f t="shared" ca="1" si="59"/>
        <v>0</v>
      </c>
      <c r="AY76" s="11">
        <f t="shared" ca="1" si="59"/>
        <v>0</v>
      </c>
      <c r="AZ76" s="11">
        <f t="shared" ca="1" si="59"/>
        <v>0</v>
      </c>
      <c r="BA76" s="11">
        <f t="shared" ca="1" si="59"/>
        <v>0</v>
      </c>
      <c r="BB76" s="8" t="s">
        <v>75</v>
      </c>
    </row>
    <row r="77" spans="1:54" x14ac:dyDescent="0.2">
      <c r="BB77" s="8" t="s">
        <v>75</v>
      </c>
    </row>
    <row r="78" spans="1:54" x14ac:dyDescent="0.2">
      <c r="B78" s="1" t="s">
        <v>193</v>
      </c>
      <c r="Y78" s="67">
        <f>+Y73/Y67</f>
        <v>4.0900733333333328</v>
      </c>
      <c r="Z78" s="67">
        <f>+Z73/Z67</f>
        <v>5.1609133333333332</v>
      </c>
      <c r="AA78" s="67">
        <f>+AA73/AA67</f>
        <v>5.4099849999999998</v>
      </c>
      <c r="AB78" s="67">
        <f>+AB73/AB67</f>
        <v>5.4381366666666668</v>
      </c>
      <c r="AC78" s="67">
        <f>+AC73/AC67</f>
        <v>5.090303333333333</v>
      </c>
      <c r="AD78" s="105">
        <f ca="1">+AD$12</f>
        <v>5.63</v>
      </c>
      <c r="AE78" s="67">
        <f t="shared" ref="AE78:BA78" ca="1" si="60">+AE$12</f>
        <v>5.6580099502487569</v>
      </c>
      <c r="AF78" s="67">
        <f t="shared" ca="1" si="60"/>
        <v>5.6861592534838259</v>
      </c>
      <c r="AG78" s="67">
        <f t="shared" ca="1" si="60"/>
        <v>5.714448603003647</v>
      </c>
      <c r="AH78" s="67">
        <f t="shared" ca="1" si="60"/>
        <v>5.7428786955559046</v>
      </c>
      <c r="AI78" s="67">
        <f t="shared" ca="1" si="60"/>
        <v>5.7714502313546907</v>
      </c>
      <c r="AJ78" s="67">
        <f t="shared" ca="1" si="60"/>
        <v>5.8001639140977499</v>
      </c>
      <c r="AK78" s="67">
        <f t="shared" ca="1" si="60"/>
        <v>5.8290204509838093</v>
      </c>
      <c r="AL78" s="67">
        <f t="shared" ca="1" si="60"/>
        <v>5.8580205527299976</v>
      </c>
      <c r="AM78" s="67">
        <f t="shared" ca="1" si="60"/>
        <v>5.8871649335893519</v>
      </c>
      <c r="AN78" s="67">
        <f t="shared" ca="1" si="60"/>
        <v>5.9164543113684038</v>
      </c>
      <c r="AO78" s="67">
        <f t="shared" ca="1" si="60"/>
        <v>5.9458894074448638</v>
      </c>
      <c r="AP78" s="67">
        <f t="shared" ca="1" si="60"/>
        <v>5.9754709467853857</v>
      </c>
      <c r="AQ78" s="67">
        <f t="shared" ca="1" si="60"/>
        <v>6.0051996579634235</v>
      </c>
      <c r="AR78" s="67">
        <f t="shared" ca="1" si="60"/>
        <v>6.0350762731771725</v>
      </c>
      <c r="AS78" s="67">
        <f t="shared" ca="1" si="60"/>
        <v>6.0651015282676068</v>
      </c>
      <c r="AT78" s="67">
        <f t="shared" ca="1" si="60"/>
        <v>6.0952761627366012</v>
      </c>
      <c r="AU78" s="67">
        <f t="shared" ca="1" si="60"/>
        <v>6.1256009197651418</v>
      </c>
      <c r="AV78" s="67">
        <f t="shared" ca="1" si="60"/>
        <v>6.1560765462316356</v>
      </c>
      <c r="AW78" s="67">
        <f t="shared" ca="1" si="60"/>
        <v>6.1867037927303015</v>
      </c>
      <c r="AX78" s="67">
        <f t="shared" ca="1" si="60"/>
        <v>6.2174834135896573</v>
      </c>
      <c r="AY78" s="67">
        <f t="shared" ca="1" si="60"/>
        <v>6.2484161668910998</v>
      </c>
      <c r="AZ78" s="67">
        <f t="shared" ca="1" si="60"/>
        <v>6.2795028144875733</v>
      </c>
      <c r="BA78" s="67">
        <f t="shared" ca="1" si="60"/>
        <v>6.3107441220223386</v>
      </c>
      <c r="BB78" s="8" t="s">
        <v>75</v>
      </c>
    </row>
    <row r="79" spans="1:54" x14ac:dyDescent="0.2">
      <c r="BB79" s="8" t="s">
        <v>75</v>
      </c>
    </row>
    <row r="80" spans="1:54" s="35" customFormat="1" x14ac:dyDescent="0.2">
      <c r="A80" s="1" t="s">
        <v>75</v>
      </c>
      <c r="B80" s="36" t="s">
        <v>168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BB80" s="90" t="s">
        <v>75</v>
      </c>
    </row>
    <row r="81" spans="1:54" x14ac:dyDescent="0.2">
      <c r="B81" s="1" t="s">
        <v>165</v>
      </c>
      <c r="C81" s="45" t="s">
        <v>164</v>
      </c>
      <c r="D81" s="64">
        <f>+Financing!$D$10</f>
        <v>425</v>
      </c>
      <c r="AD81" s="11"/>
      <c r="AE81" s="11">
        <f t="shared" ref="AE81:AR81" si="61">+AD84</f>
        <v>425</v>
      </c>
      <c r="AF81" s="11">
        <f t="shared" si="61"/>
        <v>425</v>
      </c>
      <c r="AG81" s="11">
        <f t="shared" si="61"/>
        <v>425</v>
      </c>
      <c r="AH81" s="11">
        <f t="shared" si="61"/>
        <v>425</v>
      </c>
      <c r="AI81" s="11">
        <f t="shared" si="61"/>
        <v>425</v>
      </c>
      <c r="AJ81" s="11">
        <f t="shared" si="61"/>
        <v>425</v>
      </c>
      <c r="AK81" s="11">
        <f t="shared" si="61"/>
        <v>425</v>
      </c>
      <c r="AL81" s="11">
        <f t="shared" si="61"/>
        <v>425</v>
      </c>
      <c r="AM81" s="11">
        <f t="shared" si="61"/>
        <v>425</v>
      </c>
      <c r="AN81" s="11">
        <f t="shared" si="61"/>
        <v>425</v>
      </c>
      <c r="AO81" s="11">
        <f t="shared" si="61"/>
        <v>425</v>
      </c>
      <c r="AP81" s="11">
        <f t="shared" si="61"/>
        <v>425</v>
      </c>
      <c r="AQ81" s="11">
        <f t="shared" si="61"/>
        <v>425</v>
      </c>
      <c r="AR81" s="11">
        <f t="shared" si="61"/>
        <v>425</v>
      </c>
      <c r="AS81" s="11">
        <f t="shared" ref="AS81:BA81" si="62">+AR84</f>
        <v>425</v>
      </c>
      <c r="AT81" s="11">
        <f t="shared" si="62"/>
        <v>425</v>
      </c>
      <c r="AU81" s="11">
        <f t="shared" si="62"/>
        <v>425</v>
      </c>
      <c r="AV81" s="11">
        <f t="shared" si="62"/>
        <v>425</v>
      </c>
      <c r="AW81" s="11">
        <f t="shared" si="62"/>
        <v>425</v>
      </c>
      <c r="AX81" s="11">
        <f t="shared" si="62"/>
        <v>425</v>
      </c>
      <c r="AY81" s="11">
        <f t="shared" si="62"/>
        <v>425</v>
      </c>
      <c r="AZ81" s="11">
        <f t="shared" si="62"/>
        <v>425</v>
      </c>
      <c r="BA81" s="11">
        <f t="shared" si="62"/>
        <v>425</v>
      </c>
      <c r="BB81" s="8" t="s">
        <v>75</v>
      </c>
    </row>
    <row r="82" spans="1:54" x14ac:dyDescent="0.2">
      <c r="B82" s="1" t="s">
        <v>166</v>
      </c>
      <c r="C82" s="45" t="s">
        <v>164</v>
      </c>
      <c r="AE82" s="12">
        <v>0</v>
      </c>
      <c r="AF82" s="12">
        <v>0</v>
      </c>
      <c r="AG82" s="12">
        <v>0</v>
      </c>
      <c r="AH82" s="12">
        <v>0</v>
      </c>
      <c r="AI82" s="12">
        <v>0</v>
      </c>
      <c r="AJ82" s="12">
        <v>0</v>
      </c>
      <c r="AK82" s="12">
        <v>0</v>
      </c>
      <c r="AL82" s="12">
        <v>0</v>
      </c>
      <c r="AM82" s="12">
        <v>0</v>
      </c>
      <c r="AN82" s="12">
        <v>0</v>
      </c>
      <c r="AO82" s="12">
        <v>0</v>
      </c>
      <c r="AP82" s="12">
        <v>0</v>
      </c>
      <c r="AQ82" s="12">
        <v>0</v>
      </c>
      <c r="AR82" s="12">
        <v>0</v>
      </c>
      <c r="AS82" s="12">
        <v>0</v>
      </c>
      <c r="AT82" s="12">
        <v>0</v>
      </c>
      <c r="AU82" s="12">
        <v>0</v>
      </c>
      <c r="AV82" s="12">
        <v>0</v>
      </c>
      <c r="AW82" s="12">
        <v>0</v>
      </c>
      <c r="AX82" s="12">
        <v>0</v>
      </c>
      <c r="AY82" s="12">
        <v>0</v>
      </c>
      <c r="AZ82" s="12">
        <v>0</v>
      </c>
      <c r="BA82" s="12">
        <v>0</v>
      </c>
      <c r="BB82" s="8" t="s">
        <v>75</v>
      </c>
    </row>
    <row r="83" spans="1:54" x14ac:dyDescent="0.2">
      <c r="B83" s="1" t="s">
        <v>169</v>
      </c>
      <c r="C83" s="45" t="s">
        <v>164</v>
      </c>
      <c r="D83" s="47" t="str">
        <f>+Financing!$D$13</f>
        <v>1Q31</v>
      </c>
      <c r="AD83" s="12">
        <v>425</v>
      </c>
      <c r="AE83" s="11">
        <f>+IF($D83=AE$3,-AE81,0)</f>
        <v>0</v>
      </c>
      <c r="AF83" s="11">
        <f t="shared" ref="AF83:BA83" si="63">+IF($D83=AF$3,-AF81,0)</f>
        <v>0</v>
      </c>
      <c r="AG83" s="11">
        <f t="shared" si="63"/>
        <v>0</v>
      </c>
      <c r="AH83" s="11">
        <f t="shared" si="63"/>
        <v>0</v>
      </c>
      <c r="AI83" s="11">
        <f t="shared" si="63"/>
        <v>0</v>
      </c>
      <c r="AJ83" s="11">
        <f t="shared" si="63"/>
        <v>0</v>
      </c>
      <c r="AK83" s="11">
        <f t="shared" si="63"/>
        <v>0</v>
      </c>
      <c r="AL83" s="11">
        <f t="shared" si="63"/>
        <v>0</v>
      </c>
      <c r="AM83" s="11">
        <f t="shared" si="63"/>
        <v>0</v>
      </c>
      <c r="AN83" s="11">
        <f t="shared" si="63"/>
        <v>0</v>
      </c>
      <c r="AO83" s="11">
        <f t="shared" si="63"/>
        <v>0</v>
      </c>
      <c r="AP83" s="11">
        <f t="shared" si="63"/>
        <v>0</v>
      </c>
      <c r="AQ83" s="11">
        <f t="shared" si="63"/>
        <v>0</v>
      </c>
      <c r="AR83" s="11">
        <f t="shared" si="63"/>
        <v>0</v>
      </c>
      <c r="AS83" s="11">
        <f t="shared" si="63"/>
        <v>0</v>
      </c>
      <c r="AT83" s="11">
        <f t="shared" si="63"/>
        <v>0</v>
      </c>
      <c r="AU83" s="11">
        <f t="shared" si="63"/>
        <v>0</v>
      </c>
      <c r="AV83" s="11">
        <f t="shared" si="63"/>
        <v>0</v>
      </c>
      <c r="AW83" s="11">
        <f t="shared" si="63"/>
        <v>0</v>
      </c>
      <c r="AX83" s="11">
        <f t="shared" si="63"/>
        <v>0</v>
      </c>
      <c r="AY83" s="11">
        <f t="shared" si="63"/>
        <v>0</v>
      </c>
      <c r="AZ83" s="11">
        <f t="shared" si="63"/>
        <v>0</v>
      </c>
      <c r="BA83" s="11">
        <f t="shared" si="63"/>
        <v>0</v>
      </c>
      <c r="BB83" s="8" t="s">
        <v>75</v>
      </c>
    </row>
    <row r="84" spans="1:54" x14ac:dyDescent="0.2">
      <c r="B84" s="1" t="s">
        <v>167</v>
      </c>
      <c r="C84" s="45" t="s">
        <v>164</v>
      </c>
      <c r="AD84" s="11">
        <f>+AD81+AD82+AD83</f>
        <v>425</v>
      </c>
      <c r="AE84" s="11">
        <f>+AE81+AE82+AE83</f>
        <v>425</v>
      </c>
      <c r="AF84" s="11">
        <f t="shared" ref="AF84:BA84" si="64">+AF81+AF82+AF83</f>
        <v>425</v>
      </c>
      <c r="AG84" s="11">
        <f t="shared" si="64"/>
        <v>425</v>
      </c>
      <c r="AH84" s="11">
        <f t="shared" si="64"/>
        <v>425</v>
      </c>
      <c r="AI84" s="11">
        <f t="shared" si="64"/>
        <v>425</v>
      </c>
      <c r="AJ84" s="11">
        <f t="shared" si="64"/>
        <v>425</v>
      </c>
      <c r="AK84" s="11">
        <f t="shared" si="64"/>
        <v>425</v>
      </c>
      <c r="AL84" s="11">
        <f t="shared" si="64"/>
        <v>425</v>
      </c>
      <c r="AM84" s="11">
        <f t="shared" si="64"/>
        <v>425</v>
      </c>
      <c r="AN84" s="11">
        <f t="shared" si="64"/>
        <v>425</v>
      </c>
      <c r="AO84" s="11">
        <f t="shared" si="64"/>
        <v>425</v>
      </c>
      <c r="AP84" s="11">
        <f t="shared" si="64"/>
        <v>425</v>
      </c>
      <c r="AQ84" s="11">
        <f t="shared" si="64"/>
        <v>425</v>
      </c>
      <c r="AR84" s="11">
        <f t="shared" si="64"/>
        <v>425</v>
      </c>
      <c r="AS84" s="11">
        <f t="shared" si="64"/>
        <v>425</v>
      </c>
      <c r="AT84" s="11">
        <f t="shared" si="64"/>
        <v>425</v>
      </c>
      <c r="AU84" s="11">
        <f t="shared" si="64"/>
        <v>425</v>
      </c>
      <c r="AV84" s="11">
        <f t="shared" si="64"/>
        <v>425</v>
      </c>
      <c r="AW84" s="11">
        <f t="shared" si="64"/>
        <v>425</v>
      </c>
      <c r="AX84" s="11">
        <f t="shared" si="64"/>
        <v>425</v>
      </c>
      <c r="AY84" s="11">
        <f t="shared" si="64"/>
        <v>425</v>
      </c>
      <c r="AZ84" s="11">
        <f t="shared" si="64"/>
        <v>425</v>
      </c>
      <c r="BA84" s="11">
        <f t="shared" si="64"/>
        <v>425</v>
      </c>
      <c r="BB84" s="8" t="s">
        <v>75</v>
      </c>
    </row>
    <row r="85" spans="1:54" x14ac:dyDescent="0.2">
      <c r="BB85" s="8" t="s">
        <v>75</v>
      </c>
    </row>
    <row r="86" spans="1:54" x14ac:dyDescent="0.2">
      <c r="B86" s="1" t="s">
        <v>165</v>
      </c>
      <c r="C86" s="45" t="s">
        <v>187</v>
      </c>
      <c r="Z86" s="11"/>
      <c r="AA86" s="11"/>
      <c r="AB86" s="11"/>
      <c r="AC86" s="11"/>
      <c r="AD86" s="11">
        <f t="shared" ref="AD86:BA86" si="65">+AC90</f>
        <v>0</v>
      </c>
      <c r="AE86" s="11">
        <f t="shared" ca="1" si="65"/>
        <v>2392.75</v>
      </c>
      <c r="AF86" s="11">
        <f t="shared" ca="1" si="65"/>
        <v>2404.6542288557216</v>
      </c>
      <c r="AG86" s="11">
        <f t="shared" ca="1" si="65"/>
        <v>2416.6176827306258</v>
      </c>
      <c r="AH86" s="11">
        <f t="shared" ca="1" si="65"/>
        <v>2428.6406562765501</v>
      </c>
      <c r="AI86" s="11">
        <f t="shared" ca="1" si="65"/>
        <v>2440.7234456112596</v>
      </c>
      <c r="AJ86" s="11">
        <f t="shared" ca="1" si="65"/>
        <v>2452.8663483257437</v>
      </c>
      <c r="AK86" s="11">
        <f t="shared" ca="1" si="65"/>
        <v>2465.0696634915439</v>
      </c>
      <c r="AL86" s="11">
        <f t="shared" ca="1" si="65"/>
        <v>2477.3336916681187</v>
      </c>
      <c r="AM86" s="11">
        <f t="shared" ca="1" si="65"/>
        <v>2489.6587349102488</v>
      </c>
      <c r="AN86" s="11">
        <f t="shared" ca="1" si="65"/>
        <v>2502.0450967754746</v>
      </c>
      <c r="AO86" s="11">
        <f t="shared" ca="1" si="65"/>
        <v>2514.4930823315717</v>
      </c>
      <c r="AP86" s="11">
        <f t="shared" ca="1" si="65"/>
        <v>2527.0029981640673</v>
      </c>
      <c r="AQ86" s="11">
        <f t="shared" ca="1" si="65"/>
        <v>2539.5751523837889</v>
      </c>
      <c r="AR86" s="11">
        <f t="shared" ca="1" si="65"/>
        <v>2552.209854634455</v>
      </c>
      <c r="AS86" s="11">
        <f t="shared" ca="1" si="65"/>
        <v>2564.9074161002982</v>
      </c>
      <c r="AT86" s="11">
        <f t="shared" ca="1" si="65"/>
        <v>2577.6681495137327</v>
      </c>
      <c r="AU86" s="11">
        <f t="shared" ca="1" si="65"/>
        <v>2590.4923691630556</v>
      </c>
      <c r="AV86" s="11">
        <f t="shared" ca="1" si="65"/>
        <v>2603.3803909001854</v>
      </c>
      <c r="AW86" s="11">
        <f t="shared" ca="1" si="65"/>
        <v>2616.3325321484449</v>
      </c>
      <c r="AX86" s="11">
        <f t="shared" ca="1" si="65"/>
        <v>2629.3491119103783</v>
      </c>
      <c r="AY86" s="11">
        <f t="shared" ca="1" si="65"/>
        <v>2642.4304507756042</v>
      </c>
      <c r="AZ86" s="11">
        <f t="shared" ca="1" si="65"/>
        <v>2655.5768709287172</v>
      </c>
      <c r="BA86" s="11">
        <f t="shared" ca="1" si="65"/>
        <v>2668.7886961572185</v>
      </c>
      <c r="BB86" s="8" t="s">
        <v>75</v>
      </c>
    </row>
    <row r="87" spans="1:54" x14ac:dyDescent="0.2">
      <c r="B87" s="1" t="s">
        <v>166</v>
      </c>
      <c r="C87" s="45" t="s">
        <v>187</v>
      </c>
      <c r="Z87" s="11"/>
      <c r="AA87" s="11"/>
      <c r="AB87" s="11"/>
      <c r="AC87" s="11"/>
      <c r="AD87" s="11">
        <f ca="1">+AD82*AD$12</f>
        <v>0</v>
      </c>
      <c r="AE87" s="11">
        <f t="shared" ref="AE87:BA88" ca="1" si="66">+AE82*AE$12</f>
        <v>0</v>
      </c>
      <c r="AF87" s="11">
        <f t="shared" ca="1" si="66"/>
        <v>0</v>
      </c>
      <c r="AG87" s="11">
        <f t="shared" ca="1" si="66"/>
        <v>0</v>
      </c>
      <c r="AH87" s="11">
        <f t="shared" ca="1" si="66"/>
        <v>0</v>
      </c>
      <c r="AI87" s="11">
        <f t="shared" ca="1" si="66"/>
        <v>0</v>
      </c>
      <c r="AJ87" s="11">
        <f t="shared" ca="1" si="66"/>
        <v>0</v>
      </c>
      <c r="AK87" s="11">
        <f t="shared" ca="1" si="66"/>
        <v>0</v>
      </c>
      <c r="AL87" s="11">
        <f t="shared" ca="1" si="66"/>
        <v>0</v>
      </c>
      <c r="AM87" s="11">
        <f t="shared" ca="1" si="66"/>
        <v>0</v>
      </c>
      <c r="AN87" s="11">
        <f t="shared" ca="1" si="66"/>
        <v>0</v>
      </c>
      <c r="AO87" s="11">
        <f t="shared" ca="1" si="66"/>
        <v>0</v>
      </c>
      <c r="AP87" s="11">
        <f t="shared" ca="1" si="66"/>
        <v>0</v>
      </c>
      <c r="AQ87" s="11">
        <f t="shared" ca="1" si="66"/>
        <v>0</v>
      </c>
      <c r="AR87" s="11">
        <f t="shared" ca="1" si="66"/>
        <v>0</v>
      </c>
      <c r="AS87" s="11">
        <f t="shared" ca="1" si="66"/>
        <v>0</v>
      </c>
      <c r="AT87" s="11">
        <f t="shared" ca="1" si="66"/>
        <v>0</v>
      </c>
      <c r="AU87" s="11">
        <f t="shared" ca="1" si="66"/>
        <v>0</v>
      </c>
      <c r="AV87" s="11">
        <f t="shared" ca="1" si="66"/>
        <v>0</v>
      </c>
      <c r="AW87" s="11">
        <f t="shared" ca="1" si="66"/>
        <v>0</v>
      </c>
      <c r="AX87" s="11">
        <f t="shared" ca="1" si="66"/>
        <v>0</v>
      </c>
      <c r="AY87" s="11">
        <f t="shared" ca="1" si="66"/>
        <v>0</v>
      </c>
      <c r="AZ87" s="11">
        <f t="shared" ca="1" si="66"/>
        <v>0</v>
      </c>
      <c r="BA87" s="11">
        <f t="shared" ca="1" si="66"/>
        <v>0</v>
      </c>
      <c r="BB87" s="8" t="s">
        <v>75</v>
      </c>
    </row>
    <row r="88" spans="1:54" x14ac:dyDescent="0.2">
      <c r="B88" s="1" t="s">
        <v>169</v>
      </c>
      <c r="C88" s="45" t="s">
        <v>187</v>
      </c>
      <c r="Z88" s="11"/>
      <c r="AA88" s="11"/>
      <c r="AB88" s="11"/>
      <c r="AC88" s="11"/>
      <c r="AD88" s="11">
        <f t="shared" ref="AD88:AS88" ca="1" si="67">+AD83*AD$12</f>
        <v>2392.75</v>
      </c>
      <c r="AE88" s="11">
        <f t="shared" ca="1" si="67"/>
        <v>0</v>
      </c>
      <c r="AF88" s="11">
        <f t="shared" ca="1" si="67"/>
        <v>0</v>
      </c>
      <c r="AG88" s="11">
        <f t="shared" ca="1" si="67"/>
        <v>0</v>
      </c>
      <c r="AH88" s="11">
        <f t="shared" ca="1" si="67"/>
        <v>0</v>
      </c>
      <c r="AI88" s="11">
        <f t="shared" ca="1" si="67"/>
        <v>0</v>
      </c>
      <c r="AJ88" s="11">
        <f t="shared" ca="1" si="67"/>
        <v>0</v>
      </c>
      <c r="AK88" s="11">
        <f t="shared" ca="1" si="67"/>
        <v>0</v>
      </c>
      <c r="AL88" s="11">
        <f t="shared" ca="1" si="67"/>
        <v>0</v>
      </c>
      <c r="AM88" s="11">
        <f t="shared" ca="1" si="67"/>
        <v>0</v>
      </c>
      <c r="AN88" s="11">
        <f t="shared" ca="1" si="67"/>
        <v>0</v>
      </c>
      <c r="AO88" s="11">
        <f t="shared" ca="1" si="67"/>
        <v>0</v>
      </c>
      <c r="AP88" s="11">
        <f t="shared" ca="1" si="67"/>
        <v>0</v>
      </c>
      <c r="AQ88" s="11">
        <f t="shared" ca="1" si="67"/>
        <v>0</v>
      </c>
      <c r="AR88" s="11">
        <f t="shared" ca="1" si="67"/>
        <v>0</v>
      </c>
      <c r="AS88" s="11">
        <f t="shared" ca="1" si="67"/>
        <v>0</v>
      </c>
      <c r="AT88" s="11">
        <f t="shared" ca="1" si="66"/>
        <v>0</v>
      </c>
      <c r="AU88" s="11">
        <f t="shared" ca="1" si="66"/>
        <v>0</v>
      </c>
      <c r="AV88" s="11">
        <f t="shared" ca="1" si="66"/>
        <v>0</v>
      </c>
      <c r="AW88" s="11">
        <f t="shared" ca="1" si="66"/>
        <v>0</v>
      </c>
      <c r="AX88" s="11">
        <f t="shared" ca="1" si="66"/>
        <v>0</v>
      </c>
      <c r="AY88" s="11">
        <f t="shared" ca="1" si="66"/>
        <v>0</v>
      </c>
      <c r="AZ88" s="11">
        <f t="shared" ca="1" si="66"/>
        <v>0</v>
      </c>
      <c r="BA88" s="11">
        <f t="shared" ca="1" si="66"/>
        <v>0</v>
      </c>
      <c r="BB88" s="8" t="s">
        <v>75</v>
      </c>
    </row>
    <row r="89" spans="1:54" x14ac:dyDescent="0.2">
      <c r="B89" s="1" t="s">
        <v>194</v>
      </c>
      <c r="C89" s="45" t="s">
        <v>187</v>
      </c>
      <c r="Z89" s="11"/>
      <c r="AA89" s="11"/>
      <c r="AB89" s="11"/>
      <c r="AC89" s="11"/>
      <c r="AD89" s="11">
        <f t="shared" ref="AD89:BA89" ca="1" si="68">+AD90-AD86-AD87-AD88</f>
        <v>0</v>
      </c>
      <c r="AE89" s="11">
        <f t="shared" ca="1" si="68"/>
        <v>11.904228855721612</v>
      </c>
      <c r="AF89" s="11">
        <f t="shared" ca="1" si="68"/>
        <v>11.963453874904189</v>
      </c>
      <c r="AG89" s="11">
        <f t="shared" ca="1" si="68"/>
        <v>12.022973545924287</v>
      </c>
      <c r="AH89" s="11">
        <f t="shared" ca="1" si="68"/>
        <v>12.08278933470956</v>
      </c>
      <c r="AI89" s="11">
        <f t="shared" ca="1" si="68"/>
        <v>12.14290271448408</v>
      </c>
      <c r="AJ89" s="11">
        <f t="shared" ca="1" si="68"/>
        <v>12.203315165800177</v>
      </c>
      <c r="AK89" s="11">
        <f t="shared" ca="1" si="68"/>
        <v>12.264028176574811</v>
      </c>
      <c r="AL89" s="11">
        <f t="shared" ca="1" si="68"/>
        <v>12.32504324213005</v>
      </c>
      <c r="AM89" s="11">
        <f t="shared" ca="1" si="68"/>
        <v>12.386361865225808</v>
      </c>
      <c r="AN89" s="11">
        <f t="shared" ca="1" si="68"/>
        <v>12.447985556097137</v>
      </c>
      <c r="AO89" s="11">
        <f t="shared" ca="1" si="68"/>
        <v>12.509915832495608</v>
      </c>
      <c r="AP89" s="11">
        <f t="shared" ca="1" si="68"/>
        <v>12.572154219721597</v>
      </c>
      <c r="AQ89" s="11">
        <f t="shared" ca="1" si="68"/>
        <v>12.634702250666123</v>
      </c>
      <c r="AR89" s="11">
        <f t="shared" ca="1" si="68"/>
        <v>12.697561465843137</v>
      </c>
      <c r="AS89" s="11">
        <f t="shared" ca="1" si="68"/>
        <v>12.760733413434536</v>
      </c>
      <c r="AT89" s="11">
        <f t="shared" ca="1" si="68"/>
        <v>12.824219649322913</v>
      </c>
      <c r="AU89" s="11">
        <f t="shared" ca="1" si="68"/>
        <v>12.888021737129748</v>
      </c>
      <c r="AV89" s="11">
        <f t="shared" ca="1" si="68"/>
        <v>12.952141248259522</v>
      </c>
      <c r="AW89" s="11">
        <f t="shared" ca="1" si="68"/>
        <v>13.016579761933372</v>
      </c>
      <c r="AX89" s="11">
        <f t="shared" ca="1" si="68"/>
        <v>13.081338865225916</v>
      </c>
      <c r="AY89" s="11">
        <f t="shared" ca="1" si="68"/>
        <v>13.146420153113013</v>
      </c>
      <c r="AZ89" s="11">
        <f t="shared" ca="1" si="68"/>
        <v>13.211825228501311</v>
      </c>
      <c r="BA89" s="11">
        <f t="shared" ca="1" si="68"/>
        <v>13.277555702275549</v>
      </c>
      <c r="BB89" s="8" t="s">
        <v>75</v>
      </c>
    </row>
    <row r="90" spans="1:54" x14ac:dyDescent="0.2">
      <c r="B90" s="1" t="s">
        <v>167</v>
      </c>
      <c r="C90" s="45" t="s">
        <v>187</v>
      </c>
      <c r="Y90" s="12"/>
      <c r="Z90" s="12"/>
      <c r="AA90" s="12"/>
      <c r="AB90" s="12"/>
      <c r="AC90" s="12"/>
      <c r="AD90" s="11">
        <f ca="1">+AD84*AD$12</f>
        <v>2392.75</v>
      </c>
      <c r="AE90" s="11">
        <f t="shared" ref="AE90:BA90" ca="1" si="69">+AE84*AE$12</f>
        <v>2404.6542288557216</v>
      </c>
      <c r="AF90" s="11">
        <f t="shared" ca="1" si="69"/>
        <v>2416.6176827306258</v>
      </c>
      <c r="AG90" s="11">
        <f t="shared" ca="1" si="69"/>
        <v>2428.6406562765501</v>
      </c>
      <c r="AH90" s="11">
        <f t="shared" ca="1" si="69"/>
        <v>2440.7234456112596</v>
      </c>
      <c r="AI90" s="11">
        <f t="shared" ca="1" si="69"/>
        <v>2452.8663483257437</v>
      </c>
      <c r="AJ90" s="11">
        <f t="shared" ca="1" si="69"/>
        <v>2465.0696634915439</v>
      </c>
      <c r="AK90" s="11">
        <f t="shared" ca="1" si="69"/>
        <v>2477.3336916681187</v>
      </c>
      <c r="AL90" s="11">
        <f t="shared" ca="1" si="69"/>
        <v>2489.6587349102488</v>
      </c>
      <c r="AM90" s="11">
        <f t="shared" ca="1" si="69"/>
        <v>2502.0450967754746</v>
      </c>
      <c r="AN90" s="11">
        <f t="shared" ca="1" si="69"/>
        <v>2514.4930823315717</v>
      </c>
      <c r="AO90" s="11">
        <f t="shared" ca="1" si="69"/>
        <v>2527.0029981640673</v>
      </c>
      <c r="AP90" s="11">
        <f t="shared" ca="1" si="69"/>
        <v>2539.5751523837889</v>
      </c>
      <c r="AQ90" s="11">
        <f t="shared" ca="1" si="69"/>
        <v>2552.209854634455</v>
      </c>
      <c r="AR90" s="11">
        <f t="shared" ca="1" si="69"/>
        <v>2564.9074161002982</v>
      </c>
      <c r="AS90" s="11">
        <f t="shared" ca="1" si="69"/>
        <v>2577.6681495137327</v>
      </c>
      <c r="AT90" s="11">
        <f t="shared" ca="1" si="69"/>
        <v>2590.4923691630556</v>
      </c>
      <c r="AU90" s="11">
        <f t="shared" ca="1" si="69"/>
        <v>2603.3803909001854</v>
      </c>
      <c r="AV90" s="11">
        <f t="shared" ca="1" si="69"/>
        <v>2616.3325321484449</v>
      </c>
      <c r="AW90" s="11">
        <f t="shared" ca="1" si="69"/>
        <v>2629.3491119103783</v>
      </c>
      <c r="AX90" s="11">
        <f t="shared" ca="1" si="69"/>
        <v>2642.4304507756042</v>
      </c>
      <c r="AY90" s="11">
        <f t="shared" ca="1" si="69"/>
        <v>2655.5768709287172</v>
      </c>
      <c r="AZ90" s="11">
        <f t="shared" ca="1" si="69"/>
        <v>2668.7886961572185</v>
      </c>
      <c r="BA90" s="11">
        <f t="shared" ca="1" si="69"/>
        <v>2682.0662518594941</v>
      </c>
      <c r="BB90" s="8" t="s">
        <v>75</v>
      </c>
    </row>
    <row r="91" spans="1:54" x14ac:dyDescent="0.2">
      <c r="BB91" s="8" t="s">
        <v>75</v>
      </c>
    </row>
    <row r="92" spans="1:54" x14ac:dyDescent="0.2">
      <c r="B92" s="1" t="s">
        <v>175</v>
      </c>
      <c r="C92" s="45" t="s">
        <v>164</v>
      </c>
      <c r="D92" s="48">
        <f>+Financing!$D$11</f>
        <v>4.9500000000000002E-2</v>
      </c>
      <c r="Y92" s="11">
        <f t="shared" ref="Y92:BA92" si="70">-IFERROR(IF(Circ=1,AVERAGE(Y84,Y81)*$D92/4,Y81*$D92/4),0)</f>
        <v>0</v>
      </c>
      <c r="Z92" s="11">
        <f t="shared" si="70"/>
        <v>0</v>
      </c>
      <c r="AA92" s="11">
        <f t="shared" si="70"/>
        <v>0</v>
      </c>
      <c r="AB92" s="11">
        <f t="shared" si="70"/>
        <v>0</v>
      </c>
      <c r="AC92" s="11">
        <f t="shared" si="70"/>
        <v>0</v>
      </c>
      <c r="AD92" s="11">
        <f t="shared" si="70"/>
        <v>-5.2593750000000004</v>
      </c>
      <c r="AE92" s="11">
        <f t="shared" si="70"/>
        <v>-5.2593750000000004</v>
      </c>
      <c r="AF92" s="11">
        <f t="shared" si="70"/>
        <v>-5.2593750000000004</v>
      </c>
      <c r="AG92" s="11">
        <f t="shared" si="70"/>
        <v>-5.2593750000000004</v>
      </c>
      <c r="AH92" s="11">
        <f t="shared" si="70"/>
        <v>-5.2593750000000004</v>
      </c>
      <c r="AI92" s="11">
        <f t="shared" si="70"/>
        <v>-5.2593750000000004</v>
      </c>
      <c r="AJ92" s="11">
        <f t="shared" si="70"/>
        <v>-5.2593750000000004</v>
      </c>
      <c r="AK92" s="11">
        <f t="shared" si="70"/>
        <v>-5.2593750000000004</v>
      </c>
      <c r="AL92" s="11">
        <f t="shared" si="70"/>
        <v>-5.2593750000000004</v>
      </c>
      <c r="AM92" s="11">
        <f t="shared" si="70"/>
        <v>-5.2593750000000004</v>
      </c>
      <c r="AN92" s="11">
        <f t="shared" si="70"/>
        <v>-5.2593750000000004</v>
      </c>
      <c r="AO92" s="11">
        <f t="shared" si="70"/>
        <v>-5.2593750000000004</v>
      </c>
      <c r="AP92" s="11">
        <f t="shared" si="70"/>
        <v>-5.2593750000000004</v>
      </c>
      <c r="AQ92" s="11">
        <f t="shared" si="70"/>
        <v>-5.2593750000000004</v>
      </c>
      <c r="AR92" s="11">
        <f t="shared" si="70"/>
        <v>-5.2593750000000004</v>
      </c>
      <c r="AS92" s="11">
        <f t="shared" si="70"/>
        <v>-5.2593750000000004</v>
      </c>
      <c r="AT92" s="11">
        <f t="shared" si="70"/>
        <v>-5.2593750000000004</v>
      </c>
      <c r="AU92" s="11">
        <f t="shared" si="70"/>
        <v>-5.2593750000000004</v>
      </c>
      <c r="AV92" s="11">
        <f t="shared" si="70"/>
        <v>-5.2593750000000004</v>
      </c>
      <c r="AW92" s="11">
        <f t="shared" si="70"/>
        <v>-5.2593750000000004</v>
      </c>
      <c r="AX92" s="11">
        <f t="shared" si="70"/>
        <v>-5.2593750000000004</v>
      </c>
      <c r="AY92" s="11">
        <f t="shared" si="70"/>
        <v>-5.2593750000000004</v>
      </c>
      <c r="AZ92" s="11">
        <f t="shared" si="70"/>
        <v>-5.2593750000000004</v>
      </c>
      <c r="BA92" s="11">
        <f t="shared" si="70"/>
        <v>-5.2593750000000004</v>
      </c>
      <c r="BB92" s="8" t="s">
        <v>75</v>
      </c>
    </row>
    <row r="93" spans="1:54" x14ac:dyDescent="0.2">
      <c r="B93" s="1" t="s">
        <v>175</v>
      </c>
      <c r="C93" s="45" t="s">
        <v>187</v>
      </c>
      <c r="D93" s="48"/>
      <c r="Y93" s="11">
        <f t="shared" ref="Y93:BA93" ca="1" si="71">+Y92*Y$13</f>
        <v>0</v>
      </c>
      <c r="Z93" s="11">
        <f t="shared" ca="1" si="71"/>
        <v>0</v>
      </c>
      <c r="AA93" s="11">
        <f t="shared" ca="1" si="71"/>
        <v>0</v>
      </c>
      <c r="AB93" s="11">
        <f t="shared" ca="1" si="71"/>
        <v>0</v>
      </c>
      <c r="AC93" s="11">
        <f t="shared" ca="1" si="71"/>
        <v>0</v>
      </c>
      <c r="AD93" s="11">
        <f t="shared" ca="1" si="71"/>
        <v>-28.34865407072369</v>
      </c>
      <c r="AE93" s="11">
        <f t="shared" ca="1" si="71"/>
        <v>-29.683938666044778</v>
      </c>
      <c r="AF93" s="11">
        <f t="shared" ca="1" si="71"/>
        <v>-29.831619952940532</v>
      </c>
      <c r="AG93" s="11">
        <f t="shared" ca="1" si="71"/>
        <v>-29.980035972606903</v>
      </c>
      <c r="AH93" s="11">
        <f t="shared" ca="1" si="71"/>
        <v>-30.129190380430824</v>
      </c>
      <c r="AI93" s="11">
        <f t="shared" ca="1" si="71"/>
        <v>-30.279086849985209</v>
      </c>
      <c r="AJ93" s="11">
        <f t="shared" ca="1" si="71"/>
        <v>-30.429729073119464</v>
      </c>
      <c r="AK93" s="11">
        <f t="shared" ca="1" si="71"/>
        <v>-30.581120760050418</v>
      </c>
      <c r="AL93" s="11">
        <f t="shared" ca="1" si="71"/>
        <v>-30.733265639453652</v>
      </c>
      <c r="AM93" s="11">
        <f t="shared" ca="1" si="71"/>
        <v>-30.88616745855542</v>
      </c>
      <c r="AN93" s="11">
        <f t="shared" ca="1" si="71"/>
        <v>-31.039829983224848</v>
      </c>
      <c r="AO93" s="11">
        <f t="shared" ca="1" si="71"/>
        <v>-31.194256998066766</v>
      </c>
      <c r="AP93" s="11">
        <f t="shared" ca="1" si="71"/>
        <v>-31.349452306514859</v>
      </c>
      <c r="AQ93" s="11">
        <f t="shared" ca="1" si="71"/>
        <v>-31.505419730925386</v>
      </c>
      <c r="AR93" s="11">
        <f t="shared" ca="1" si="71"/>
        <v>-31.662163112671287</v>
      </c>
      <c r="AS93" s="11">
        <f t="shared" ca="1" si="71"/>
        <v>-31.819686312236822</v>
      </c>
      <c r="AT93" s="11">
        <f t="shared" ca="1" si="71"/>
        <v>-31.977993209312629</v>
      </c>
      <c r="AU93" s="11">
        <f t="shared" ca="1" si="71"/>
        <v>-32.137087702891307</v>
      </c>
      <c r="AV93" s="11">
        <f t="shared" ca="1" si="71"/>
        <v>-32.2969737113634</v>
      </c>
      <c r="AW93" s="11">
        <f t="shared" ca="1" si="71"/>
        <v>-32.457655172613968</v>
      </c>
      <c r="AX93" s="11">
        <f t="shared" ca="1" si="71"/>
        <v>-32.619136044119522</v>
      </c>
      <c r="AY93" s="11">
        <f t="shared" ca="1" si="71"/>
        <v>-32.781420303045493</v>
      </c>
      <c r="AZ93" s="11">
        <f t="shared" ca="1" si="71"/>
        <v>-32.944511946344228</v>
      </c>
      <c r="BA93" s="11">
        <f t="shared" ca="1" si="71"/>
        <v>-33.108414990853412</v>
      </c>
      <c r="BB93" s="8" t="s">
        <v>75</v>
      </c>
    </row>
    <row r="94" spans="1:54" x14ac:dyDescent="0.2">
      <c r="BB94" s="8" t="s">
        <v>75</v>
      </c>
    </row>
    <row r="95" spans="1:54" s="35" customFormat="1" x14ac:dyDescent="0.2">
      <c r="A95" s="1" t="s">
        <v>75</v>
      </c>
      <c r="B95" s="36" t="s">
        <v>180</v>
      </c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BB95" s="90" t="s">
        <v>75</v>
      </c>
    </row>
    <row r="96" spans="1:54" x14ac:dyDescent="0.2">
      <c r="B96" s="1" t="s">
        <v>165</v>
      </c>
      <c r="C96" s="45" t="s">
        <v>164</v>
      </c>
      <c r="D96" s="64">
        <f>+Financing!$D$17</f>
        <v>131.62604000000002</v>
      </c>
      <c r="Y96" s="11">
        <f>+$D96</f>
        <v>131.62604000000002</v>
      </c>
      <c r="Z96" s="11">
        <f>+Y99</f>
        <v>131.62604000000002</v>
      </c>
      <c r="AA96" s="11">
        <f t="shared" ref="AA96:BA96" si="72">+Z99</f>
        <v>131.62604000000002</v>
      </c>
      <c r="AB96" s="11">
        <f t="shared" si="72"/>
        <v>129.45638000000002</v>
      </c>
      <c r="AC96" s="11">
        <f t="shared" si="72"/>
        <v>129.45638000000002</v>
      </c>
      <c r="AD96" s="11">
        <f t="shared" si="72"/>
        <v>127.28672000000003</v>
      </c>
      <c r="AE96" s="11">
        <f t="shared" si="72"/>
        <v>127.28672000000003</v>
      </c>
      <c r="AF96" s="11">
        <f t="shared" si="72"/>
        <v>125.11706000000004</v>
      </c>
      <c r="AG96" s="11">
        <f t="shared" si="72"/>
        <v>125.11706000000004</v>
      </c>
      <c r="AH96" s="11">
        <f t="shared" si="72"/>
        <v>122.94740000000004</v>
      </c>
      <c r="AI96" s="11">
        <f t="shared" si="72"/>
        <v>122.94740000000004</v>
      </c>
      <c r="AJ96" s="11">
        <f t="shared" si="72"/>
        <v>120.77774000000005</v>
      </c>
      <c r="AK96" s="11">
        <f t="shared" si="72"/>
        <v>120.77774000000005</v>
      </c>
      <c r="AL96" s="11">
        <f t="shared" si="72"/>
        <v>118.60808000000006</v>
      </c>
      <c r="AM96" s="11">
        <f t="shared" si="72"/>
        <v>118.60808000000006</v>
      </c>
      <c r="AN96" s="11">
        <f t="shared" si="72"/>
        <v>116.43842000000006</v>
      </c>
      <c r="AO96" s="11">
        <f t="shared" si="72"/>
        <v>116.43842000000006</v>
      </c>
      <c r="AP96" s="11">
        <f t="shared" si="72"/>
        <v>114.26876000000007</v>
      </c>
      <c r="AQ96" s="11">
        <f t="shared" si="72"/>
        <v>114.26876000000007</v>
      </c>
      <c r="AR96" s="11">
        <f t="shared" si="72"/>
        <v>112.09910000000008</v>
      </c>
      <c r="AS96" s="11">
        <f t="shared" si="72"/>
        <v>112.09910000000008</v>
      </c>
      <c r="AT96" s="11">
        <f t="shared" si="72"/>
        <v>109.92944000000008</v>
      </c>
      <c r="AU96" s="11">
        <f t="shared" si="72"/>
        <v>109.92944000000008</v>
      </c>
      <c r="AV96" s="11">
        <f t="shared" si="72"/>
        <v>107.75978000000009</v>
      </c>
      <c r="AW96" s="11">
        <f t="shared" si="72"/>
        <v>107.75978000000009</v>
      </c>
      <c r="AX96" s="11">
        <f t="shared" si="72"/>
        <v>105.5901200000001</v>
      </c>
      <c r="AY96" s="11">
        <f t="shared" si="72"/>
        <v>105.5901200000001</v>
      </c>
      <c r="AZ96" s="11">
        <f t="shared" si="72"/>
        <v>103.42046000000011</v>
      </c>
      <c r="BA96" s="11">
        <f t="shared" si="72"/>
        <v>103.42046000000011</v>
      </c>
      <c r="BB96" s="8" t="s">
        <v>75</v>
      </c>
    </row>
    <row r="97" spans="1:54" x14ac:dyDescent="0.2">
      <c r="B97" s="1" t="s">
        <v>166</v>
      </c>
      <c r="C97" s="45" t="s">
        <v>164</v>
      </c>
      <c r="D97" s="48">
        <f>+Financing!$D$19</f>
        <v>0.03</v>
      </c>
      <c r="Y97" s="12">
        <v>0</v>
      </c>
      <c r="Z97" s="23">
        <f>-$D97/2*Financing!$D$16*Z$8</f>
        <v>0</v>
      </c>
      <c r="AA97" s="23">
        <f>-$D97/2*Financing!$D$16*AA$8</f>
        <v>-2.1696599999999999</v>
      </c>
      <c r="AB97" s="23">
        <f>-$D97/2*Financing!$D$16*AB$8</f>
        <v>0</v>
      </c>
      <c r="AC97" s="23">
        <f>-$D97/2*Financing!$D$16*AC$8</f>
        <v>-2.1696599999999999</v>
      </c>
      <c r="AD97" s="23">
        <f>-$D97/2*Financing!$D$16*AD$8</f>
        <v>0</v>
      </c>
      <c r="AE97" s="23">
        <f>-$D97/2*Financing!$D$16*AE$8</f>
        <v>-2.1696599999999999</v>
      </c>
      <c r="AF97" s="23">
        <f>-$D97/2*Financing!$D$16*AF$8</f>
        <v>0</v>
      </c>
      <c r="AG97" s="23">
        <f>-$D97/2*Financing!$D$16*AG$8</f>
        <v>-2.1696599999999999</v>
      </c>
      <c r="AH97" s="23">
        <f>-$D97/2*Financing!$D$16*AH$8</f>
        <v>0</v>
      </c>
      <c r="AI97" s="23">
        <f>-$D97/2*Financing!$D$16*AI$8</f>
        <v>-2.1696599999999999</v>
      </c>
      <c r="AJ97" s="23">
        <f>-$D97/2*Financing!$D$16*AJ$8</f>
        <v>0</v>
      </c>
      <c r="AK97" s="23">
        <f>-$D97/2*Financing!$D$16*AK$8</f>
        <v>-2.1696599999999999</v>
      </c>
      <c r="AL97" s="23">
        <f>-$D97/2*Financing!$D$16*AL$8</f>
        <v>0</v>
      </c>
      <c r="AM97" s="23">
        <f>-$D97/2*Financing!$D$16*AM$8</f>
        <v>-2.1696599999999999</v>
      </c>
      <c r="AN97" s="23">
        <f>-$D97/2*Financing!$D$16*AN$8</f>
        <v>0</v>
      </c>
      <c r="AO97" s="23">
        <f>-$D97/2*Financing!$D$16*AO$8</f>
        <v>-2.1696599999999999</v>
      </c>
      <c r="AP97" s="23">
        <f>-$D97/2*Financing!$D$16*AP$8</f>
        <v>0</v>
      </c>
      <c r="AQ97" s="23">
        <f>-$D97/2*Financing!$D$16*AQ$8</f>
        <v>-2.1696599999999999</v>
      </c>
      <c r="AR97" s="23">
        <f>-$D97/2*Financing!$D$16*AR$8</f>
        <v>0</v>
      </c>
      <c r="AS97" s="23">
        <f>-$D97/2*Financing!$D$16*AS$8</f>
        <v>-2.1696599999999999</v>
      </c>
      <c r="AT97" s="23">
        <f>-$D97/2*Financing!$D$16*AT$8</f>
        <v>0</v>
      </c>
      <c r="AU97" s="23">
        <f>-$D97/2*Financing!$D$16*AU$8</f>
        <v>-2.1696599999999999</v>
      </c>
      <c r="AV97" s="23">
        <f>-$D97/2*Financing!$D$16*AV$8</f>
        <v>0</v>
      </c>
      <c r="AW97" s="23">
        <f>-$D97/2*Financing!$D$16*AW$8</f>
        <v>-2.1696599999999999</v>
      </c>
      <c r="AX97" s="23">
        <f>-$D97/2*Financing!$D$16*AX$8</f>
        <v>0</v>
      </c>
      <c r="AY97" s="23">
        <f>-$D97/2*Financing!$D$16*AY$8</f>
        <v>-2.1696599999999999</v>
      </c>
      <c r="AZ97" s="23">
        <f>-$D97/2*Financing!$D$16*AZ$8</f>
        <v>0</v>
      </c>
      <c r="BA97" s="23">
        <f>-$D97/2*Financing!$D$16*BA$8</f>
        <v>-2.1696599999999999</v>
      </c>
      <c r="BB97" s="8" t="s">
        <v>75</v>
      </c>
    </row>
    <row r="98" spans="1:54" x14ac:dyDescent="0.2">
      <c r="B98" s="1" t="s">
        <v>169</v>
      </c>
      <c r="C98" s="45" t="s">
        <v>164</v>
      </c>
      <c r="D98" s="47" t="str">
        <f>+Financing!$D$21</f>
        <v>1Q33</v>
      </c>
      <c r="Y98" s="12">
        <v>0</v>
      </c>
      <c r="Z98" s="12">
        <v>0</v>
      </c>
      <c r="AA98" s="12">
        <v>0</v>
      </c>
      <c r="AB98" s="12">
        <v>0</v>
      </c>
      <c r="AC98" s="12">
        <v>0</v>
      </c>
      <c r="AD98" s="11">
        <f>+IF($D98=AD$3,-(AD96+AD97),0)</f>
        <v>0</v>
      </c>
      <c r="AE98" s="11">
        <f t="shared" ref="AE98:BA98" si="73">+IF($D98=AE$3,-(AE96+AE97),0)</f>
        <v>0</v>
      </c>
      <c r="AF98" s="11">
        <f t="shared" si="73"/>
        <v>0</v>
      </c>
      <c r="AG98" s="11">
        <f t="shared" si="73"/>
        <v>0</v>
      </c>
      <c r="AH98" s="11">
        <f t="shared" si="73"/>
        <v>0</v>
      </c>
      <c r="AI98" s="11">
        <f t="shared" si="73"/>
        <v>0</v>
      </c>
      <c r="AJ98" s="11">
        <f t="shared" si="73"/>
        <v>0</v>
      </c>
      <c r="AK98" s="11">
        <f t="shared" si="73"/>
        <v>0</v>
      </c>
      <c r="AL98" s="11">
        <f t="shared" si="73"/>
        <v>0</v>
      </c>
      <c r="AM98" s="11">
        <f t="shared" si="73"/>
        <v>0</v>
      </c>
      <c r="AN98" s="11">
        <f t="shared" si="73"/>
        <v>0</v>
      </c>
      <c r="AO98" s="11">
        <f t="shared" si="73"/>
        <v>0</v>
      </c>
      <c r="AP98" s="11">
        <f t="shared" si="73"/>
        <v>0</v>
      </c>
      <c r="AQ98" s="11">
        <f t="shared" si="73"/>
        <v>0</v>
      </c>
      <c r="AR98" s="11">
        <f t="shared" si="73"/>
        <v>0</v>
      </c>
      <c r="AS98" s="11">
        <f t="shared" si="73"/>
        <v>0</v>
      </c>
      <c r="AT98" s="11">
        <f t="shared" si="73"/>
        <v>0</v>
      </c>
      <c r="AU98" s="11">
        <f t="shared" si="73"/>
        <v>0</v>
      </c>
      <c r="AV98" s="11">
        <f t="shared" si="73"/>
        <v>0</v>
      </c>
      <c r="AW98" s="11">
        <f t="shared" si="73"/>
        <v>0</v>
      </c>
      <c r="AX98" s="11">
        <f t="shared" si="73"/>
        <v>0</v>
      </c>
      <c r="AY98" s="11">
        <f t="shared" si="73"/>
        <v>0</v>
      </c>
      <c r="AZ98" s="11">
        <f t="shared" si="73"/>
        <v>0</v>
      </c>
      <c r="BA98" s="11">
        <f t="shared" si="73"/>
        <v>0</v>
      </c>
      <c r="BB98" s="8" t="s">
        <v>75</v>
      </c>
    </row>
    <row r="99" spans="1:54" x14ac:dyDescent="0.2">
      <c r="B99" s="1" t="s">
        <v>167</v>
      </c>
      <c r="C99" s="45" t="s">
        <v>164</v>
      </c>
      <c r="Y99" s="11">
        <f>+Y96+Y97+Y98</f>
        <v>131.62604000000002</v>
      </c>
      <c r="Z99" s="11">
        <f t="shared" ref="Z99:BA99" si="74">+Z96+Z97+Z98</f>
        <v>131.62604000000002</v>
      </c>
      <c r="AA99" s="11">
        <f t="shared" si="74"/>
        <v>129.45638000000002</v>
      </c>
      <c r="AB99" s="11">
        <f t="shared" si="74"/>
        <v>129.45638000000002</v>
      </c>
      <c r="AC99" s="11">
        <f t="shared" si="74"/>
        <v>127.28672000000003</v>
      </c>
      <c r="AD99" s="11">
        <f t="shared" si="74"/>
        <v>127.28672000000003</v>
      </c>
      <c r="AE99" s="11">
        <f t="shared" si="74"/>
        <v>125.11706000000004</v>
      </c>
      <c r="AF99" s="11">
        <f t="shared" si="74"/>
        <v>125.11706000000004</v>
      </c>
      <c r="AG99" s="11">
        <f t="shared" si="74"/>
        <v>122.94740000000004</v>
      </c>
      <c r="AH99" s="11">
        <f t="shared" si="74"/>
        <v>122.94740000000004</v>
      </c>
      <c r="AI99" s="11">
        <f t="shared" si="74"/>
        <v>120.77774000000005</v>
      </c>
      <c r="AJ99" s="11">
        <f t="shared" si="74"/>
        <v>120.77774000000005</v>
      </c>
      <c r="AK99" s="11">
        <f t="shared" si="74"/>
        <v>118.60808000000006</v>
      </c>
      <c r="AL99" s="11">
        <f t="shared" si="74"/>
        <v>118.60808000000006</v>
      </c>
      <c r="AM99" s="11">
        <f t="shared" si="74"/>
        <v>116.43842000000006</v>
      </c>
      <c r="AN99" s="11">
        <f t="shared" si="74"/>
        <v>116.43842000000006</v>
      </c>
      <c r="AO99" s="11">
        <f t="shared" si="74"/>
        <v>114.26876000000007</v>
      </c>
      <c r="AP99" s="11">
        <f t="shared" si="74"/>
        <v>114.26876000000007</v>
      </c>
      <c r="AQ99" s="11">
        <f t="shared" si="74"/>
        <v>112.09910000000008</v>
      </c>
      <c r="AR99" s="11">
        <f t="shared" si="74"/>
        <v>112.09910000000008</v>
      </c>
      <c r="AS99" s="11">
        <f t="shared" si="74"/>
        <v>109.92944000000008</v>
      </c>
      <c r="AT99" s="11">
        <f t="shared" si="74"/>
        <v>109.92944000000008</v>
      </c>
      <c r="AU99" s="11">
        <f t="shared" si="74"/>
        <v>107.75978000000009</v>
      </c>
      <c r="AV99" s="11">
        <f t="shared" si="74"/>
        <v>107.75978000000009</v>
      </c>
      <c r="AW99" s="11">
        <f t="shared" si="74"/>
        <v>105.5901200000001</v>
      </c>
      <c r="AX99" s="11">
        <f t="shared" si="74"/>
        <v>105.5901200000001</v>
      </c>
      <c r="AY99" s="11">
        <f t="shared" si="74"/>
        <v>103.42046000000011</v>
      </c>
      <c r="AZ99" s="11">
        <f t="shared" si="74"/>
        <v>103.42046000000011</v>
      </c>
      <c r="BA99" s="11">
        <f t="shared" si="74"/>
        <v>101.25080000000011</v>
      </c>
      <c r="BB99" s="8" t="s">
        <v>75</v>
      </c>
    </row>
    <row r="100" spans="1:54" x14ac:dyDescent="0.2">
      <c r="BB100" s="8" t="s">
        <v>75</v>
      </c>
    </row>
    <row r="101" spans="1:54" x14ac:dyDescent="0.2">
      <c r="B101" s="1" t="s">
        <v>165</v>
      </c>
      <c r="C101" s="45" t="s">
        <v>187</v>
      </c>
      <c r="Z101" s="11"/>
      <c r="AA101" s="11"/>
      <c r="AB101" s="11"/>
      <c r="AC101" s="11"/>
      <c r="AD101" s="11">
        <f t="shared" ref="AD101:BA101" si="75">+AC105</f>
        <v>666.48500000000001</v>
      </c>
      <c r="AE101" s="11">
        <f t="shared" ca="1" si="75"/>
        <v>716.62423360000014</v>
      </c>
      <c r="AF101" s="11">
        <f t="shared" ca="1" si="75"/>
        <v>707.91357042587094</v>
      </c>
      <c r="AG101" s="11">
        <f t="shared" ca="1" si="75"/>
        <v>711.43552848769127</v>
      </c>
      <c r="AH101" s="11">
        <f t="shared" ca="1" si="75"/>
        <v>702.57659817293086</v>
      </c>
      <c r="AI101" s="11">
        <f t="shared" ca="1" si="75"/>
        <v>706.07200413399028</v>
      </c>
      <c r="AJ101" s="11">
        <f t="shared" ca="1" si="75"/>
        <v>697.06271546549692</v>
      </c>
      <c r="AK101" s="11">
        <f t="shared" ca="1" si="75"/>
        <v>700.53068917428072</v>
      </c>
      <c r="AL101" s="11">
        <f t="shared" ca="1" si="75"/>
        <v>691.36892397192412</v>
      </c>
      <c r="AM101" s="11">
        <f t="shared" ca="1" si="75"/>
        <v>694.80857035984411</v>
      </c>
      <c r="AN101" s="11">
        <f t="shared" ca="1" si="75"/>
        <v>685.49218314654945</v>
      </c>
      <c r="AO101" s="11">
        <f t="shared" ca="1" si="75"/>
        <v>688.90259201792537</v>
      </c>
      <c r="AP101" s="11">
        <f t="shared" ca="1" si="75"/>
        <v>679.42940968585981</v>
      </c>
      <c r="AQ101" s="11">
        <f t="shared" ca="1" si="75"/>
        <v>682.80965550519238</v>
      </c>
      <c r="AR101" s="11">
        <f t="shared" ca="1" si="75"/>
        <v>673.17747697800803</v>
      </c>
      <c r="AS101" s="11">
        <f t="shared" ca="1" si="75"/>
        <v>676.52661865451569</v>
      </c>
      <c r="AT101" s="11">
        <f t="shared" ca="1" si="75"/>
        <v>666.73321454560266</v>
      </c>
      <c r="AU101" s="11">
        <f t="shared" ca="1" si="75"/>
        <v>670.05029521498398</v>
      </c>
      <c r="AV101" s="11">
        <f t="shared" ca="1" si="75"/>
        <v>660.09340748168984</v>
      </c>
      <c r="AW101" s="11">
        <f t="shared" ca="1" si="75"/>
        <v>663.3774542850814</v>
      </c>
      <c r="AX101" s="11">
        <f t="shared" ca="1" si="75"/>
        <v>653.25479587884831</v>
      </c>
      <c r="AY101" s="11">
        <f t="shared" ca="1" si="75"/>
        <v>656.50481973894216</v>
      </c>
      <c r="AZ101" s="11">
        <f t="shared" ca="1" si="75"/>
        <v>646.21407425131497</v>
      </c>
      <c r="BA101" s="11">
        <f t="shared" ca="1" si="75"/>
        <v>649.42906964560018</v>
      </c>
      <c r="BB101" s="8" t="s">
        <v>75</v>
      </c>
    </row>
    <row r="102" spans="1:54" x14ac:dyDescent="0.2">
      <c r="B102" s="1" t="s">
        <v>166</v>
      </c>
      <c r="C102" s="45" t="s">
        <v>187</v>
      </c>
      <c r="Z102" s="11"/>
      <c r="AA102" s="11"/>
      <c r="AB102" s="11"/>
      <c r="AC102" s="11"/>
      <c r="AD102" s="11">
        <f t="shared" ref="AD102:BA102" ca="1" si="76">+AD97*AD$110</f>
        <v>0</v>
      </c>
      <c r="AE102" s="11">
        <f t="shared" ca="1" si="76"/>
        <v>-12.275957868656718</v>
      </c>
      <c r="AF102" s="11">
        <f t="shared" ca="1" si="76"/>
        <v>0</v>
      </c>
      <c r="AG102" s="11">
        <f t="shared" ca="1" si="76"/>
        <v>-12.398410555992893</v>
      </c>
      <c r="AH102" s="11">
        <f t="shared" ca="1" si="76"/>
        <v>0</v>
      </c>
      <c r="AI102" s="11">
        <f t="shared" ca="1" si="76"/>
        <v>-12.522084708961017</v>
      </c>
      <c r="AJ102" s="11">
        <f t="shared" ca="1" si="76"/>
        <v>0</v>
      </c>
      <c r="AK102" s="11">
        <f t="shared" ca="1" si="76"/>
        <v>-12.646992511681532</v>
      </c>
      <c r="AL102" s="11">
        <f t="shared" ca="1" si="76"/>
        <v>0</v>
      </c>
      <c r="AM102" s="11">
        <f t="shared" ca="1" si="76"/>
        <v>-12.773146269811473</v>
      </c>
      <c r="AN102" s="11">
        <f t="shared" ca="1" si="76"/>
        <v>0</v>
      </c>
      <c r="AO102" s="11">
        <f t="shared" ca="1" si="76"/>
        <v>-12.900558411756823</v>
      </c>
      <c r="AP102" s="11">
        <f t="shared" ca="1" si="76"/>
        <v>0</v>
      </c>
      <c r="AQ102" s="11">
        <f t="shared" ca="1" si="76"/>
        <v>-13.02924148989692</v>
      </c>
      <c r="AR102" s="11">
        <f t="shared" ca="1" si="76"/>
        <v>0</v>
      </c>
      <c r="AS102" s="11">
        <f t="shared" ca="1" si="76"/>
        <v>-13.159208181821095</v>
      </c>
      <c r="AT102" s="11">
        <f t="shared" ca="1" si="76"/>
        <v>0</v>
      </c>
      <c r="AU102" s="11">
        <f t="shared" ca="1" si="76"/>
        <v>-13.290471291577637</v>
      </c>
      <c r="AV102" s="11">
        <f t="shared" ca="1" si="76"/>
        <v>0</v>
      </c>
      <c r="AW102" s="11">
        <f t="shared" ca="1" si="76"/>
        <v>-13.423043750935225</v>
      </c>
      <c r="AX102" s="11">
        <f t="shared" ca="1" si="76"/>
        <v>0</v>
      </c>
      <c r="AY102" s="11">
        <f t="shared" ca="1" si="76"/>
        <v>-13.556938620656943</v>
      </c>
      <c r="AZ102" s="11">
        <f t="shared" ca="1" si="76"/>
        <v>0</v>
      </c>
      <c r="BA102" s="11">
        <f t="shared" ca="1" si="76"/>
        <v>-13.692169091786987</v>
      </c>
      <c r="BB102" s="8" t="s">
        <v>75</v>
      </c>
    </row>
    <row r="103" spans="1:54" x14ac:dyDescent="0.2">
      <c r="B103" s="1" t="s">
        <v>169</v>
      </c>
      <c r="C103" s="45" t="s">
        <v>187</v>
      </c>
      <c r="Z103" s="11"/>
      <c r="AA103" s="11"/>
      <c r="AB103" s="11"/>
      <c r="AC103" s="11"/>
      <c r="AD103" s="11">
        <f ca="1">+AD98*AD$110</f>
        <v>0</v>
      </c>
      <c r="AE103" s="11">
        <f t="shared" ref="AE103:BA103" ca="1" si="77">+AE98*AE$110</f>
        <v>0</v>
      </c>
      <c r="AF103" s="11">
        <f t="shared" ca="1" si="77"/>
        <v>0</v>
      </c>
      <c r="AG103" s="11">
        <f t="shared" ca="1" si="77"/>
        <v>0</v>
      </c>
      <c r="AH103" s="11">
        <f t="shared" ca="1" si="77"/>
        <v>0</v>
      </c>
      <c r="AI103" s="11">
        <f t="shared" ca="1" si="77"/>
        <v>0</v>
      </c>
      <c r="AJ103" s="11">
        <f t="shared" ca="1" si="77"/>
        <v>0</v>
      </c>
      <c r="AK103" s="11">
        <f t="shared" ca="1" si="77"/>
        <v>0</v>
      </c>
      <c r="AL103" s="11">
        <f t="shared" ca="1" si="77"/>
        <v>0</v>
      </c>
      <c r="AM103" s="11">
        <f t="shared" ca="1" si="77"/>
        <v>0</v>
      </c>
      <c r="AN103" s="11">
        <f t="shared" ca="1" si="77"/>
        <v>0</v>
      </c>
      <c r="AO103" s="11">
        <f t="shared" ca="1" si="77"/>
        <v>0</v>
      </c>
      <c r="AP103" s="11">
        <f t="shared" ca="1" si="77"/>
        <v>0</v>
      </c>
      <c r="AQ103" s="11">
        <f t="shared" ca="1" si="77"/>
        <v>0</v>
      </c>
      <c r="AR103" s="11">
        <f t="shared" ca="1" si="77"/>
        <v>0</v>
      </c>
      <c r="AS103" s="11">
        <f t="shared" ca="1" si="77"/>
        <v>0</v>
      </c>
      <c r="AT103" s="11">
        <f t="shared" ca="1" si="77"/>
        <v>0</v>
      </c>
      <c r="AU103" s="11">
        <f t="shared" ca="1" si="77"/>
        <v>0</v>
      </c>
      <c r="AV103" s="11">
        <f t="shared" ca="1" si="77"/>
        <v>0</v>
      </c>
      <c r="AW103" s="11">
        <f t="shared" ca="1" si="77"/>
        <v>0</v>
      </c>
      <c r="AX103" s="11">
        <f t="shared" ca="1" si="77"/>
        <v>0</v>
      </c>
      <c r="AY103" s="11">
        <f t="shared" ca="1" si="77"/>
        <v>0</v>
      </c>
      <c r="AZ103" s="11">
        <f t="shared" ca="1" si="77"/>
        <v>0</v>
      </c>
      <c r="BA103" s="11">
        <f t="shared" ca="1" si="77"/>
        <v>0</v>
      </c>
      <c r="BB103" s="8" t="s">
        <v>75</v>
      </c>
    </row>
    <row r="104" spans="1:54" x14ac:dyDescent="0.2">
      <c r="B104" s="1" t="s">
        <v>194</v>
      </c>
      <c r="C104" s="45" t="s">
        <v>187</v>
      </c>
      <c r="Z104" s="11"/>
      <c r="AA104" s="11"/>
      <c r="AB104" s="11"/>
      <c r="AC104" s="11"/>
      <c r="AD104" s="11">
        <f ca="1">+AD105-AD101-AD102-AD103</f>
        <v>50.139233600000125</v>
      </c>
      <c r="AE104" s="11">
        <f t="shared" ref="AE104:BA104" ca="1" si="78">+AE105-AE101-AE102-AE103</f>
        <v>3.5652946945275232</v>
      </c>
      <c r="AF104" s="11">
        <f t="shared" ca="1" si="78"/>
        <v>3.5219580618203281</v>
      </c>
      <c r="AG104" s="11">
        <f t="shared" ca="1" si="78"/>
        <v>3.5394802412324786</v>
      </c>
      <c r="AH104" s="11">
        <f t="shared" ca="1" si="78"/>
        <v>3.4954059610594186</v>
      </c>
      <c r="AI104" s="11">
        <f t="shared" ca="1" si="78"/>
        <v>3.5127960404676628</v>
      </c>
      <c r="AJ104" s="11">
        <f t="shared" ca="1" si="78"/>
        <v>3.4679737087838021</v>
      </c>
      <c r="AK104" s="11">
        <f t="shared" ca="1" si="78"/>
        <v>3.4852273093249266</v>
      </c>
      <c r="AL104" s="11">
        <f t="shared" ca="1" si="78"/>
        <v>3.4396463879199928</v>
      </c>
      <c r="AM104" s="11">
        <f t="shared" ca="1" si="78"/>
        <v>3.4567590565168125</v>
      </c>
      <c r="AN104" s="11">
        <f t="shared" ca="1" si="78"/>
        <v>3.4104088713759211</v>
      </c>
      <c r="AO104" s="11">
        <f t="shared" ca="1" si="78"/>
        <v>3.4273760796912605</v>
      </c>
      <c r="AP104" s="11">
        <f t="shared" ca="1" si="78"/>
        <v>3.380245819332572</v>
      </c>
      <c r="AQ104" s="11">
        <f t="shared" ca="1" si="78"/>
        <v>3.3970629627125692</v>
      </c>
      <c r="AR104" s="11">
        <f t="shared" ca="1" si="78"/>
        <v>3.3491416765076565</v>
      </c>
      <c r="AS104" s="11">
        <f t="shared" ca="1" si="78"/>
        <v>3.3658040729080714</v>
      </c>
      <c r="AT104" s="11">
        <f t="shared" ca="1" si="78"/>
        <v>3.317080669381312</v>
      </c>
      <c r="AU104" s="11">
        <f t="shared" ca="1" si="78"/>
        <v>3.3335835582834985</v>
      </c>
      <c r="AV104" s="11">
        <f t="shared" ca="1" si="78"/>
        <v>3.2840468033915613</v>
      </c>
      <c r="AW104" s="11">
        <f t="shared" ca="1" si="78"/>
        <v>3.3003853447021392</v>
      </c>
      <c r="AX104" s="11">
        <f t="shared" ca="1" si="78"/>
        <v>3.2500238600938474</v>
      </c>
      <c r="AY104" s="11">
        <f t="shared" ca="1" si="78"/>
        <v>3.266193133029752</v>
      </c>
      <c r="AZ104" s="11">
        <f t="shared" ca="1" si="78"/>
        <v>3.2149953942852108</v>
      </c>
      <c r="BA104" s="11">
        <f t="shared" ca="1" si="78"/>
        <v>3.2309903962469164</v>
      </c>
      <c r="BB104" s="8" t="s">
        <v>75</v>
      </c>
    </row>
    <row r="105" spans="1:54" x14ac:dyDescent="0.2">
      <c r="B105" s="1" t="s">
        <v>167</v>
      </c>
      <c r="C105" s="45" t="s">
        <v>187</v>
      </c>
      <c r="Y105" s="12">
        <v>528.66700000000003</v>
      </c>
      <c r="Z105" s="12">
        <v>668.77800000000002</v>
      </c>
      <c r="AA105" s="12">
        <v>704.05</v>
      </c>
      <c r="AB105" s="12">
        <v>731.524</v>
      </c>
      <c r="AC105" s="12">
        <v>666.48500000000001</v>
      </c>
      <c r="AD105" s="11">
        <f ca="1">+AD99*AD$110</f>
        <v>716.62423360000014</v>
      </c>
      <c r="AE105" s="11">
        <f t="shared" ref="AE105:BA105" ca="1" si="79">+AE99*AE$110</f>
        <v>707.91357042587094</v>
      </c>
      <c r="AF105" s="11">
        <f t="shared" ca="1" si="79"/>
        <v>711.43552848769127</v>
      </c>
      <c r="AG105" s="11">
        <f t="shared" ca="1" si="79"/>
        <v>702.57659817293086</v>
      </c>
      <c r="AH105" s="11">
        <f t="shared" ca="1" si="79"/>
        <v>706.07200413399028</v>
      </c>
      <c r="AI105" s="11">
        <f t="shared" ca="1" si="79"/>
        <v>697.06271546549692</v>
      </c>
      <c r="AJ105" s="11">
        <f t="shared" ca="1" si="79"/>
        <v>700.53068917428072</v>
      </c>
      <c r="AK105" s="11">
        <f t="shared" ca="1" si="79"/>
        <v>691.36892397192412</v>
      </c>
      <c r="AL105" s="11">
        <f t="shared" ca="1" si="79"/>
        <v>694.80857035984411</v>
      </c>
      <c r="AM105" s="11">
        <f t="shared" ca="1" si="79"/>
        <v>685.49218314654945</v>
      </c>
      <c r="AN105" s="11">
        <f t="shared" ca="1" si="79"/>
        <v>688.90259201792537</v>
      </c>
      <c r="AO105" s="11">
        <f t="shared" ca="1" si="79"/>
        <v>679.42940968585981</v>
      </c>
      <c r="AP105" s="11">
        <f t="shared" ca="1" si="79"/>
        <v>682.80965550519238</v>
      </c>
      <c r="AQ105" s="11">
        <f t="shared" ca="1" si="79"/>
        <v>673.17747697800803</v>
      </c>
      <c r="AR105" s="11">
        <f t="shared" ca="1" si="79"/>
        <v>676.52661865451569</v>
      </c>
      <c r="AS105" s="11">
        <f t="shared" ca="1" si="79"/>
        <v>666.73321454560266</v>
      </c>
      <c r="AT105" s="11">
        <f t="shared" ca="1" si="79"/>
        <v>670.05029521498398</v>
      </c>
      <c r="AU105" s="11">
        <f t="shared" ca="1" si="79"/>
        <v>660.09340748168984</v>
      </c>
      <c r="AV105" s="11">
        <f t="shared" ca="1" si="79"/>
        <v>663.3774542850814</v>
      </c>
      <c r="AW105" s="11">
        <f t="shared" ca="1" si="79"/>
        <v>653.25479587884831</v>
      </c>
      <c r="AX105" s="11">
        <f t="shared" ca="1" si="79"/>
        <v>656.50481973894216</v>
      </c>
      <c r="AY105" s="11">
        <f t="shared" ca="1" si="79"/>
        <v>646.21407425131497</v>
      </c>
      <c r="AZ105" s="11">
        <f t="shared" ca="1" si="79"/>
        <v>649.42906964560018</v>
      </c>
      <c r="BA105" s="11">
        <f t="shared" ca="1" si="79"/>
        <v>638.96789095006011</v>
      </c>
      <c r="BB105" s="8" t="s">
        <v>75</v>
      </c>
    </row>
    <row r="106" spans="1:54" x14ac:dyDescent="0.2">
      <c r="BB106" s="8" t="s">
        <v>75</v>
      </c>
    </row>
    <row r="107" spans="1:54" x14ac:dyDescent="0.2">
      <c r="B107" s="1" t="s">
        <v>175</v>
      </c>
      <c r="C107" s="45" t="s">
        <v>164</v>
      </c>
      <c r="D107" s="48">
        <f>+Financing!$D$18</f>
        <v>3.2000000000000001E-2</v>
      </c>
      <c r="Y107" s="11">
        <f t="shared" ref="Y107:BA107" si="80">-IF(Circ=1,AVERAGE(Y99,Y96)*$D107/4,Y$96*$D107/4)</f>
        <v>-1.0530083200000002</v>
      </c>
      <c r="Z107" s="11">
        <f t="shared" si="80"/>
        <v>-1.0530083200000002</v>
      </c>
      <c r="AA107" s="11">
        <f t="shared" si="80"/>
        <v>-1.0443296800000004</v>
      </c>
      <c r="AB107" s="11">
        <f t="shared" si="80"/>
        <v>-1.0356510400000003</v>
      </c>
      <c r="AC107" s="11">
        <f t="shared" si="80"/>
        <v>-1.0269724000000002</v>
      </c>
      <c r="AD107" s="11">
        <f t="shared" si="80"/>
        <v>-1.0182937600000002</v>
      </c>
      <c r="AE107" s="11">
        <f t="shared" si="80"/>
        <v>-1.0096151200000003</v>
      </c>
      <c r="AF107" s="11">
        <f t="shared" si="80"/>
        <v>-1.0009364800000002</v>
      </c>
      <c r="AG107" s="11">
        <f t="shared" si="80"/>
        <v>-0.99225784000000039</v>
      </c>
      <c r="AH107" s="11">
        <f t="shared" si="80"/>
        <v>-0.98357920000000043</v>
      </c>
      <c r="AI107" s="11">
        <f t="shared" si="80"/>
        <v>-0.97490056000000036</v>
      </c>
      <c r="AJ107" s="11">
        <f t="shared" si="80"/>
        <v>-0.9662219200000004</v>
      </c>
      <c r="AK107" s="11">
        <f t="shared" si="80"/>
        <v>-0.95754328000000044</v>
      </c>
      <c r="AL107" s="11">
        <f t="shared" si="80"/>
        <v>-0.94886464000000048</v>
      </c>
      <c r="AM107" s="11">
        <f t="shared" si="80"/>
        <v>-0.94018600000000052</v>
      </c>
      <c r="AN107" s="11">
        <f t="shared" si="80"/>
        <v>-0.93150736000000056</v>
      </c>
      <c r="AO107" s="11">
        <f t="shared" si="80"/>
        <v>-0.9228287200000006</v>
      </c>
      <c r="AP107" s="11">
        <f t="shared" si="80"/>
        <v>-0.91415008000000064</v>
      </c>
      <c r="AQ107" s="11">
        <f t="shared" si="80"/>
        <v>-0.90547144000000057</v>
      </c>
      <c r="AR107" s="11">
        <f t="shared" si="80"/>
        <v>-0.89679280000000061</v>
      </c>
      <c r="AS107" s="11">
        <f t="shared" si="80"/>
        <v>-0.88811416000000065</v>
      </c>
      <c r="AT107" s="11">
        <f t="shared" si="80"/>
        <v>-0.87943552000000069</v>
      </c>
      <c r="AU107" s="11">
        <f t="shared" si="80"/>
        <v>-0.87075688000000073</v>
      </c>
      <c r="AV107" s="11">
        <f t="shared" si="80"/>
        <v>-0.86207824000000077</v>
      </c>
      <c r="AW107" s="11">
        <f t="shared" si="80"/>
        <v>-0.85339960000000081</v>
      </c>
      <c r="AX107" s="11">
        <f t="shared" si="80"/>
        <v>-0.84472096000000085</v>
      </c>
      <c r="AY107" s="11">
        <f t="shared" si="80"/>
        <v>-0.83604232000000078</v>
      </c>
      <c r="AZ107" s="11">
        <f t="shared" si="80"/>
        <v>-0.82736368000000082</v>
      </c>
      <c r="BA107" s="11">
        <f t="shared" si="80"/>
        <v>-0.81868504000000086</v>
      </c>
      <c r="BB107" s="8" t="s">
        <v>75</v>
      </c>
    </row>
    <row r="108" spans="1:54" x14ac:dyDescent="0.2">
      <c r="B108" s="1" t="s">
        <v>175</v>
      </c>
      <c r="C108" s="45" t="s">
        <v>187</v>
      </c>
      <c r="D108" s="48"/>
      <c r="Y108" s="11">
        <f t="shared" ref="Y108:BA108" ca="1" si="81">+Y107*Y$13</f>
        <v>-4.3343253884385007</v>
      </c>
      <c r="Z108" s="11">
        <f t="shared" ca="1" si="81"/>
        <v>-4.7096306632154858</v>
      </c>
      <c r="AA108" s="11">
        <f t="shared" ca="1" si="81"/>
        <v>-5.6243984211316738</v>
      </c>
      <c r="AB108" s="11">
        <f t="shared" ca="1" si="81"/>
        <v>-5.5719778592221534</v>
      </c>
      <c r="AC108" s="11">
        <f t="shared" ca="1" si="81"/>
        <v>-5.5405519605282558</v>
      </c>
      <c r="AD108" s="11">
        <f t="shared" ca="1" si="81"/>
        <v>-5.4887239538189485</v>
      </c>
      <c r="AE108" s="11">
        <f t="shared" ca="1" si="81"/>
        <v>-5.6982727602407977</v>
      </c>
      <c r="AF108" s="11">
        <f t="shared" ca="1" si="81"/>
        <v>-5.6773963956542488</v>
      </c>
      <c r="AG108" s="11">
        <f t="shared" ca="1" si="81"/>
        <v>-5.6561712631826468</v>
      </c>
      <c r="AH108" s="11">
        <f t="shared" ca="1" si="81"/>
        <v>-5.6345944092276845</v>
      </c>
      <c r="AI108" s="11">
        <f t="shared" ca="1" si="81"/>
        <v>-5.6126628594346712</v>
      </c>
      <c r="AJ108" s="11">
        <f t="shared" ca="1" si="81"/>
        <v>-5.5903736185591102</v>
      </c>
      <c r="AK108" s="11">
        <f t="shared" ca="1" si="81"/>
        <v>-5.5677236703324597</v>
      </c>
      <c r="AL108" s="11">
        <f t="shared" ca="1" si="81"/>
        <v>-5.5447099773270727</v>
      </c>
      <c r="AM108" s="11">
        <f t="shared" ca="1" si="81"/>
        <v>-5.5213294808203255</v>
      </c>
      <c r="AN108" s="11">
        <f t="shared" ca="1" si="81"/>
        <v>-5.4975791006578989</v>
      </c>
      <c r="AO108" s="11">
        <f t="shared" ca="1" si="81"/>
        <v>-5.4734557351162474</v>
      </c>
      <c r="AP108" s="11">
        <f t="shared" ca="1" si="81"/>
        <v>-5.4489562607642092</v>
      </c>
      <c r="AQ108" s="11">
        <f t="shared" ca="1" si="81"/>
        <v>-5.4240775323237909</v>
      </c>
      <c r="AR108" s="11">
        <f t="shared" ca="1" si="81"/>
        <v>-5.3988163825300948</v>
      </c>
      <c r="AS108" s="11">
        <f t="shared" ca="1" si="81"/>
        <v>-5.3731696219903924</v>
      </c>
      <c r="AT108" s="11">
        <f t="shared" ca="1" si="81"/>
        <v>-5.3471340390423467</v>
      </c>
      <c r="AU108" s="11">
        <f t="shared" ca="1" si="81"/>
        <v>-5.3207063996113648</v>
      </c>
      <c r="AV108" s="11">
        <f t="shared" ca="1" si="81"/>
        <v>-5.2938834470670857</v>
      </c>
      <c r="AW108" s="11">
        <f t="shared" ca="1" si="81"/>
        <v>-5.2666619020789955</v>
      </c>
      <c r="AX108" s="11">
        <f t="shared" ca="1" si="81"/>
        <v>-5.2390384624711617</v>
      </c>
      <c r="AY108" s="11">
        <f t="shared" ca="1" si="81"/>
        <v>-5.2110098030760845</v>
      </c>
      <c r="AZ108" s="11">
        <f t="shared" ca="1" si="81"/>
        <v>-5.1825725755876597</v>
      </c>
      <c r="BA108" s="11">
        <f t="shared" ca="1" si="81"/>
        <v>-5.1537234084132528</v>
      </c>
      <c r="BB108" s="8" t="s">
        <v>75</v>
      </c>
    </row>
    <row r="109" spans="1:54" x14ac:dyDescent="0.2">
      <c r="BB109" s="8" t="s">
        <v>75</v>
      </c>
    </row>
    <row r="110" spans="1:54" x14ac:dyDescent="0.2">
      <c r="B110" s="1" t="s">
        <v>193</v>
      </c>
      <c r="Y110" s="67">
        <f>+Y105/Y99</f>
        <v>4.0164317030277594</v>
      </c>
      <c r="Z110" s="67">
        <f>+Z105/Z99</f>
        <v>5.0808943275965754</v>
      </c>
      <c r="AA110" s="67">
        <f>+AA105/AA99</f>
        <v>5.4385114121065321</v>
      </c>
      <c r="AB110" s="67">
        <f>+AB105/AB99</f>
        <v>5.6507373371632967</v>
      </c>
      <c r="AC110" s="67">
        <f>+AC105/AC99</f>
        <v>5.2360921862076406</v>
      </c>
      <c r="AD110" s="105">
        <f ca="1">+AD$12</f>
        <v>5.63</v>
      </c>
      <c r="AE110" s="67">
        <f t="shared" ref="AE110:BA110" ca="1" si="82">+AE$12</f>
        <v>5.6580099502487569</v>
      </c>
      <c r="AF110" s="67">
        <f t="shared" ca="1" si="82"/>
        <v>5.6861592534838259</v>
      </c>
      <c r="AG110" s="67">
        <f t="shared" ca="1" si="82"/>
        <v>5.714448603003647</v>
      </c>
      <c r="AH110" s="67">
        <f t="shared" ca="1" si="82"/>
        <v>5.7428786955559046</v>
      </c>
      <c r="AI110" s="67">
        <f t="shared" ca="1" si="82"/>
        <v>5.7714502313546907</v>
      </c>
      <c r="AJ110" s="67">
        <f t="shared" ca="1" si="82"/>
        <v>5.8001639140977499</v>
      </c>
      <c r="AK110" s="67">
        <f t="shared" ca="1" si="82"/>
        <v>5.8290204509838093</v>
      </c>
      <c r="AL110" s="67">
        <f t="shared" ca="1" si="82"/>
        <v>5.8580205527299976</v>
      </c>
      <c r="AM110" s="67">
        <f t="shared" ca="1" si="82"/>
        <v>5.8871649335893519</v>
      </c>
      <c r="AN110" s="67">
        <f t="shared" ca="1" si="82"/>
        <v>5.9164543113684038</v>
      </c>
      <c r="AO110" s="67">
        <f t="shared" ca="1" si="82"/>
        <v>5.9458894074448638</v>
      </c>
      <c r="AP110" s="67">
        <f t="shared" ca="1" si="82"/>
        <v>5.9754709467853857</v>
      </c>
      <c r="AQ110" s="67">
        <f t="shared" ca="1" si="82"/>
        <v>6.0051996579634235</v>
      </c>
      <c r="AR110" s="67">
        <f t="shared" ca="1" si="82"/>
        <v>6.0350762731771725</v>
      </c>
      <c r="AS110" s="67">
        <f t="shared" ca="1" si="82"/>
        <v>6.0651015282676068</v>
      </c>
      <c r="AT110" s="67">
        <f t="shared" ca="1" si="82"/>
        <v>6.0952761627366012</v>
      </c>
      <c r="AU110" s="67">
        <f t="shared" ca="1" si="82"/>
        <v>6.1256009197651418</v>
      </c>
      <c r="AV110" s="67">
        <f t="shared" ca="1" si="82"/>
        <v>6.1560765462316356</v>
      </c>
      <c r="AW110" s="67">
        <f t="shared" ca="1" si="82"/>
        <v>6.1867037927303015</v>
      </c>
      <c r="AX110" s="67">
        <f t="shared" ca="1" si="82"/>
        <v>6.2174834135896573</v>
      </c>
      <c r="AY110" s="67">
        <f t="shared" ca="1" si="82"/>
        <v>6.2484161668910998</v>
      </c>
      <c r="AZ110" s="67">
        <f t="shared" ca="1" si="82"/>
        <v>6.2795028144875733</v>
      </c>
      <c r="BA110" s="67">
        <f t="shared" ca="1" si="82"/>
        <v>6.3107441220223386</v>
      </c>
      <c r="BB110" s="8" t="s">
        <v>75</v>
      </c>
    </row>
    <row r="111" spans="1:54" x14ac:dyDescent="0.2">
      <c r="BB111" s="8" t="s">
        <v>75</v>
      </c>
    </row>
    <row r="112" spans="1:54" s="35" customFormat="1" x14ac:dyDescent="0.2">
      <c r="A112" s="1" t="s">
        <v>75</v>
      </c>
      <c r="B112" s="36" t="s">
        <v>374</v>
      </c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BB112" s="90" t="s">
        <v>75</v>
      </c>
    </row>
    <row r="113" spans="2:54" x14ac:dyDescent="0.2">
      <c r="B113" s="1" t="s">
        <v>165</v>
      </c>
      <c r="C113" s="45" t="s">
        <v>164</v>
      </c>
      <c r="D113" s="64">
        <f ca="1">+Financing!D30</f>
        <v>175</v>
      </c>
      <c r="AD113" s="11"/>
      <c r="AE113" s="11">
        <f t="shared" ref="AE113:BA113" si="83">+AD116</f>
        <v>0</v>
      </c>
      <c r="AF113" s="11">
        <f t="shared" ca="1" si="83"/>
        <v>0</v>
      </c>
      <c r="AG113" s="11">
        <f t="shared" ca="1" si="83"/>
        <v>0</v>
      </c>
      <c r="AH113" s="11">
        <f t="shared" ca="1" si="83"/>
        <v>0</v>
      </c>
      <c r="AI113" s="11">
        <f t="shared" ca="1" si="83"/>
        <v>175</v>
      </c>
      <c r="AJ113" s="11">
        <f t="shared" ca="1" si="83"/>
        <v>175</v>
      </c>
      <c r="AK113" s="11">
        <f t="shared" ca="1" si="83"/>
        <v>175</v>
      </c>
      <c r="AL113" s="11">
        <f t="shared" ca="1" si="83"/>
        <v>175</v>
      </c>
      <c r="AM113" s="11">
        <f t="shared" ca="1" si="83"/>
        <v>175</v>
      </c>
      <c r="AN113" s="11">
        <f t="shared" ca="1" si="83"/>
        <v>175</v>
      </c>
      <c r="AO113" s="11">
        <f t="shared" ca="1" si="83"/>
        <v>175</v>
      </c>
      <c r="AP113" s="11">
        <f t="shared" ca="1" si="83"/>
        <v>175</v>
      </c>
      <c r="AQ113" s="11">
        <f t="shared" ca="1" si="83"/>
        <v>175</v>
      </c>
      <c r="AR113" s="11">
        <f t="shared" ca="1" si="83"/>
        <v>175</v>
      </c>
      <c r="AS113" s="11">
        <f t="shared" ca="1" si="83"/>
        <v>175</v>
      </c>
      <c r="AT113" s="11">
        <f t="shared" ca="1" si="83"/>
        <v>175</v>
      </c>
      <c r="AU113" s="11">
        <f t="shared" ca="1" si="83"/>
        <v>175</v>
      </c>
      <c r="AV113" s="11">
        <f t="shared" ca="1" si="83"/>
        <v>175</v>
      </c>
      <c r="AW113" s="11">
        <f t="shared" ca="1" si="83"/>
        <v>175</v>
      </c>
      <c r="AX113" s="11">
        <f t="shared" ca="1" si="83"/>
        <v>175</v>
      </c>
      <c r="AY113" s="11">
        <f t="shared" ca="1" si="83"/>
        <v>175</v>
      </c>
      <c r="AZ113" s="11">
        <f t="shared" ca="1" si="83"/>
        <v>175</v>
      </c>
      <c r="BA113" s="11">
        <f t="shared" ca="1" si="83"/>
        <v>175</v>
      </c>
      <c r="BB113" s="8" t="s">
        <v>75</v>
      </c>
    </row>
    <row r="114" spans="2:54" x14ac:dyDescent="0.2">
      <c r="B114" s="1" t="s">
        <v>166</v>
      </c>
      <c r="C114" s="45" t="s">
        <v>164</v>
      </c>
      <c r="AE114" s="12">
        <v>0</v>
      </c>
      <c r="AF114" s="12">
        <v>0</v>
      </c>
      <c r="AG114" s="12">
        <v>0</v>
      </c>
      <c r="AH114" s="12">
        <v>0</v>
      </c>
      <c r="AI114" s="12">
        <v>0</v>
      </c>
      <c r="AJ114" s="12">
        <v>0</v>
      </c>
      <c r="AK114" s="12">
        <v>0</v>
      </c>
      <c r="AL114" s="12">
        <v>0</v>
      </c>
      <c r="AM114" s="12">
        <v>0</v>
      </c>
      <c r="AN114" s="12">
        <v>0</v>
      </c>
      <c r="AO114" s="12">
        <v>0</v>
      </c>
      <c r="AP114" s="12">
        <v>0</v>
      </c>
      <c r="AQ114" s="12">
        <v>0</v>
      </c>
      <c r="AR114" s="12">
        <v>0</v>
      </c>
      <c r="AS114" s="12">
        <v>0</v>
      </c>
      <c r="AT114" s="12">
        <v>0</v>
      </c>
      <c r="AU114" s="12">
        <v>0</v>
      </c>
      <c r="AV114" s="12">
        <v>0</v>
      </c>
      <c r="AW114" s="12">
        <v>0</v>
      </c>
      <c r="AX114" s="12">
        <v>0</v>
      </c>
      <c r="AY114" s="12">
        <v>0</v>
      </c>
      <c r="AZ114" s="12">
        <v>0</v>
      </c>
      <c r="BA114" s="12">
        <v>0</v>
      </c>
      <c r="BB114" s="8" t="s">
        <v>75</v>
      </c>
    </row>
    <row r="115" spans="2:54" x14ac:dyDescent="0.2">
      <c r="B115" s="1" t="s">
        <v>169</v>
      </c>
      <c r="C115" s="45" t="s">
        <v>164</v>
      </c>
      <c r="D115" s="47" t="str">
        <f ca="1">+Financing!$D$33</f>
        <v>1Q32</v>
      </c>
      <c r="AD115" s="12"/>
      <c r="AE115" s="11">
        <f t="shared" ref="AE115:BA115" ca="1" si="84">+AE9*$D$113+IF($D115=AE$3,-(AE113+AE114),0)</f>
        <v>0</v>
      </c>
      <c r="AF115" s="11">
        <f t="shared" ca="1" si="84"/>
        <v>0</v>
      </c>
      <c r="AG115" s="11">
        <f t="shared" ca="1" si="84"/>
        <v>0</v>
      </c>
      <c r="AH115" s="11">
        <f t="shared" ca="1" si="84"/>
        <v>175</v>
      </c>
      <c r="AI115" s="11">
        <f t="shared" ca="1" si="84"/>
        <v>0</v>
      </c>
      <c r="AJ115" s="11">
        <f t="shared" ca="1" si="84"/>
        <v>0</v>
      </c>
      <c r="AK115" s="11">
        <f t="shared" ca="1" si="84"/>
        <v>0</v>
      </c>
      <c r="AL115" s="11">
        <f t="shared" ca="1" si="84"/>
        <v>0</v>
      </c>
      <c r="AM115" s="11">
        <f t="shared" ca="1" si="84"/>
        <v>0</v>
      </c>
      <c r="AN115" s="11">
        <f t="shared" ca="1" si="84"/>
        <v>0</v>
      </c>
      <c r="AO115" s="11">
        <f t="shared" ca="1" si="84"/>
        <v>0</v>
      </c>
      <c r="AP115" s="11">
        <f t="shared" ca="1" si="84"/>
        <v>0</v>
      </c>
      <c r="AQ115" s="11">
        <f t="shared" ca="1" si="84"/>
        <v>0</v>
      </c>
      <c r="AR115" s="11">
        <f t="shared" ca="1" si="84"/>
        <v>0</v>
      </c>
      <c r="AS115" s="11">
        <f t="shared" ca="1" si="84"/>
        <v>0</v>
      </c>
      <c r="AT115" s="11">
        <f t="shared" ca="1" si="84"/>
        <v>0</v>
      </c>
      <c r="AU115" s="11">
        <f t="shared" ca="1" si="84"/>
        <v>0</v>
      </c>
      <c r="AV115" s="11">
        <f t="shared" ca="1" si="84"/>
        <v>0</v>
      </c>
      <c r="AW115" s="11">
        <f t="shared" ca="1" si="84"/>
        <v>0</v>
      </c>
      <c r="AX115" s="11">
        <f t="shared" ca="1" si="84"/>
        <v>0</v>
      </c>
      <c r="AY115" s="11">
        <f t="shared" ca="1" si="84"/>
        <v>0</v>
      </c>
      <c r="AZ115" s="11">
        <f t="shared" ca="1" si="84"/>
        <v>0</v>
      </c>
      <c r="BA115" s="11">
        <f t="shared" ca="1" si="84"/>
        <v>0</v>
      </c>
      <c r="BB115" s="8" t="s">
        <v>75</v>
      </c>
    </row>
    <row r="116" spans="2:54" x14ac:dyDescent="0.2">
      <c r="B116" s="1" t="s">
        <v>167</v>
      </c>
      <c r="C116" s="45" t="s">
        <v>164</v>
      </c>
      <c r="AD116" s="11"/>
      <c r="AE116" s="11">
        <f t="shared" ref="AE116:BA116" ca="1" si="85">+AE113+AE114+AE115</f>
        <v>0</v>
      </c>
      <c r="AF116" s="11">
        <f t="shared" ca="1" si="85"/>
        <v>0</v>
      </c>
      <c r="AG116" s="11">
        <f t="shared" ca="1" si="85"/>
        <v>0</v>
      </c>
      <c r="AH116" s="11">
        <f t="shared" ca="1" si="85"/>
        <v>175</v>
      </c>
      <c r="AI116" s="11">
        <f t="shared" ca="1" si="85"/>
        <v>175</v>
      </c>
      <c r="AJ116" s="11">
        <f t="shared" ca="1" si="85"/>
        <v>175</v>
      </c>
      <c r="AK116" s="11">
        <f t="shared" ca="1" si="85"/>
        <v>175</v>
      </c>
      <c r="AL116" s="11">
        <f t="shared" ca="1" si="85"/>
        <v>175</v>
      </c>
      <c r="AM116" s="11">
        <f t="shared" ca="1" si="85"/>
        <v>175</v>
      </c>
      <c r="AN116" s="11">
        <f t="shared" ca="1" si="85"/>
        <v>175</v>
      </c>
      <c r="AO116" s="11">
        <f t="shared" ca="1" si="85"/>
        <v>175</v>
      </c>
      <c r="AP116" s="11">
        <f t="shared" ca="1" si="85"/>
        <v>175</v>
      </c>
      <c r="AQ116" s="11">
        <f t="shared" ca="1" si="85"/>
        <v>175</v>
      </c>
      <c r="AR116" s="11">
        <f t="shared" ca="1" si="85"/>
        <v>175</v>
      </c>
      <c r="AS116" s="11">
        <f t="shared" ca="1" si="85"/>
        <v>175</v>
      </c>
      <c r="AT116" s="11">
        <f t="shared" ca="1" si="85"/>
        <v>175</v>
      </c>
      <c r="AU116" s="11">
        <f t="shared" ca="1" si="85"/>
        <v>175</v>
      </c>
      <c r="AV116" s="11">
        <f t="shared" ca="1" si="85"/>
        <v>175</v>
      </c>
      <c r="AW116" s="11">
        <f t="shared" ca="1" si="85"/>
        <v>175</v>
      </c>
      <c r="AX116" s="11">
        <f t="shared" ca="1" si="85"/>
        <v>175</v>
      </c>
      <c r="AY116" s="11">
        <f t="shared" ca="1" si="85"/>
        <v>175</v>
      </c>
      <c r="AZ116" s="11">
        <f t="shared" ca="1" si="85"/>
        <v>175</v>
      </c>
      <c r="BA116" s="11">
        <f t="shared" ca="1" si="85"/>
        <v>175</v>
      </c>
      <c r="BB116" s="8" t="s">
        <v>75</v>
      </c>
    </row>
    <row r="117" spans="2:54" x14ac:dyDescent="0.2">
      <c r="BB117" s="8" t="s">
        <v>75</v>
      </c>
    </row>
    <row r="118" spans="2:54" x14ac:dyDescent="0.2">
      <c r="B118" s="1" t="s">
        <v>165</v>
      </c>
      <c r="C118" s="45" t="s">
        <v>187</v>
      </c>
      <c r="Z118" s="11"/>
      <c r="AA118" s="11"/>
      <c r="AB118" s="11"/>
      <c r="AC118" s="11"/>
      <c r="AD118" s="11">
        <f t="shared" ref="AD118:BA118" si="86">+AC122</f>
        <v>0</v>
      </c>
      <c r="AE118" s="11">
        <f t="shared" ca="1" si="86"/>
        <v>0</v>
      </c>
      <c r="AF118" s="11">
        <f t="shared" ca="1" si="86"/>
        <v>0</v>
      </c>
      <c r="AG118" s="11">
        <f t="shared" ca="1" si="86"/>
        <v>0</v>
      </c>
      <c r="AH118" s="11">
        <f t="shared" ca="1" si="86"/>
        <v>0</v>
      </c>
      <c r="AI118" s="11">
        <f t="shared" ca="1" si="86"/>
        <v>1005.0037717222833</v>
      </c>
      <c r="AJ118" s="11">
        <f t="shared" ca="1" si="86"/>
        <v>1010.0037904870709</v>
      </c>
      <c r="AK118" s="11">
        <f t="shared" ca="1" si="86"/>
        <v>1015.0286849671062</v>
      </c>
      <c r="AL118" s="11">
        <f t="shared" ca="1" si="86"/>
        <v>1020.0785789221666</v>
      </c>
      <c r="AM118" s="11">
        <f t="shared" ca="1" si="86"/>
        <v>1025.1535967277496</v>
      </c>
      <c r="AN118" s="11">
        <f t="shared" ca="1" si="86"/>
        <v>1030.2538633781367</v>
      </c>
      <c r="AO118" s="11">
        <f t="shared" ca="1" si="86"/>
        <v>1035.3795044894707</v>
      </c>
      <c r="AP118" s="11">
        <f t="shared" ca="1" si="86"/>
        <v>1040.5306463028512</v>
      </c>
      <c r="AQ118" s="11">
        <f t="shared" ca="1" si="86"/>
        <v>1045.7074156874426</v>
      </c>
      <c r="AR118" s="11">
        <f t="shared" ca="1" si="86"/>
        <v>1050.9099401435992</v>
      </c>
      <c r="AS118" s="11">
        <f t="shared" ca="1" si="86"/>
        <v>1056.1383478060052</v>
      </c>
      <c r="AT118" s="11">
        <f t="shared" ca="1" si="86"/>
        <v>1061.3927674468312</v>
      </c>
      <c r="AU118" s="11">
        <f t="shared" ca="1" si="86"/>
        <v>1066.6733284789052</v>
      </c>
      <c r="AV118" s="11">
        <f t="shared" ca="1" si="86"/>
        <v>1071.9801609588999</v>
      </c>
      <c r="AW118" s="11">
        <f t="shared" ca="1" si="86"/>
        <v>1077.3133955905362</v>
      </c>
      <c r="AX118" s="11">
        <f t="shared" ca="1" si="86"/>
        <v>1082.6731637278028</v>
      </c>
      <c r="AY118" s="11">
        <f t="shared" ca="1" si="86"/>
        <v>1088.0595973781901</v>
      </c>
      <c r="AZ118" s="11">
        <f t="shared" ca="1" si="86"/>
        <v>1093.4728292059424</v>
      </c>
      <c r="BA118" s="11">
        <f t="shared" ca="1" si="86"/>
        <v>1098.9129925353254</v>
      </c>
      <c r="BB118" s="8" t="s">
        <v>75</v>
      </c>
    </row>
    <row r="119" spans="2:54" x14ac:dyDescent="0.2">
      <c r="B119" s="1" t="s">
        <v>166</v>
      </c>
      <c r="C119" s="45" t="s">
        <v>187</v>
      </c>
      <c r="Z119" s="11"/>
      <c r="AA119" s="11"/>
      <c r="AB119" s="11"/>
      <c r="AC119" s="11"/>
      <c r="AD119" s="11">
        <f ca="1">+AD114*AD$12</f>
        <v>0</v>
      </c>
      <c r="AE119" s="11">
        <f t="shared" ref="AE119:BA119" ca="1" si="87">+AE114*AE$12</f>
        <v>0</v>
      </c>
      <c r="AF119" s="11">
        <f t="shared" ca="1" si="87"/>
        <v>0</v>
      </c>
      <c r="AG119" s="11">
        <f t="shared" ca="1" si="87"/>
        <v>0</v>
      </c>
      <c r="AH119" s="11">
        <f t="shared" ca="1" si="87"/>
        <v>0</v>
      </c>
      <c r="AI119" s="11">
        <f t="shared" ca="1" si="87"/>
        <v>0</v>
      </c>
      <c r="AJ119" s="11">
        <f t="shared" ca="1" si="87"/>
        <v>0</v>
      </c>
      <c r="AK119" s="11">
        <f t="shared" ca="1" si="87"/>
        <v>0</v>
      </c>
      <c r="AL119" s="11">
        <f t="shared" ca="1" si="87"/>
        <v>0</v>
      </c>
      <c r="AM119" s="11">
        <f t="shared" ca="1" si="87"/>
        <v>0</v>
      </c>
      <c r="AN119" s="11">
        <f t="shared" ca="1" si="87"/>
        <v>0</v>
      </c>
      <c r="AO119" s="11">
        <f t="shared" ca="1" si="87"/>
        <v>0</v>
      </c>
      <c r="AP119" s="11">
        <f t="shared" ca="1" si="87"/>
        <v>0</v>
      </c>
      <c r="AQ119" s="11">
        <f t="shared" ca="1" si="87"/>
        <v>0</v>
      </c>
      <c r="AR119" s="11">
        <f t="shared" ca="1" si="87"/>
        <v>0</v>
      </c>
      <c r="AS119" s="11">
        <f t="shared" ca="1" si="87"/>
        <v>0</v>
      </c>
      <c r="AT119" s="11">
        <f t="shared" ca="1" si="87"/>
        <v>0</v>
      </c>
      <c r="AU119" s="11">
        <f t="shared" ca="1" si="87"/>
        <v>0</v>
      </c>
      <c r="AV119" s="11">
        <f t="shared" ca="1" si="87"/>
        <v>0</v>
      </c>
      <c r="AW119" s="11">
        <f t="shared" ca="1" si="87"/>
        <v>0</v>
      </c>
      <c r="AX119" s="11">
        <f t="shared" ca="1" si="87"/>
        <v>0</v>
      </c>
      <c r="AY119" s="11">
        <f t="shared" ca="1" si="87"/>
        <v>0</v>
      </c>
      <c r="AZ119" s="11">
        <f t="shared" ca="1" si="87"/>
        <v>0</v>
      </c>
      <c r="BA119" s="11">
        <f t="shared" ca="1" si="87"/>
        <v>0</v>
      </c>
      <c r="BB119" s="8" t="s">
        <v>75</v>
      </c>
    </row>
    <row r="120" spans="2:54" x14ac:dyDescent="0.2">
      <c r="B120" s="1" t="s">
        <v>169</v>
      </c>
      <c r="C120" s="45" t="s">
        <v>187</v>
      </c>
      <c r="Z120" s="11"/>
      <c r="AA120" s="11"/>
      <c r="AB120" s="11"/>
      <c r="AC120" s="11"/>
      <c r="AD120" s="11">
        <f t="shared" ref="AD120:BA120" ca="1" si="88">+AD115*AD$12</f>
        <v>0</v>
      </c>
      <c r="AE120" s="11">
        <f t="shared" ca="1" si="88"/>
        <v>0</v>
      </c>
      <c r="AF120" s="11">
        <f t="shared" ca="1" si="88"/>
        <v>0</v>
      </c>
      <c r="AG120" s="11">
        <f t="shared" ca="1" si="88"/>
        <v>0</v>
      </c>
      <c r="AH120" s="11">
        <f t="shared" ca="1" si="88"/>
        <v>1005.0037717222833</v>
      </c>
      <c r="AI120" s="11">
        <f t="shared" ca="1" si="88"/>
        <v>0</v>
      </c>
      <c r="AJ120" s="11">
        <f t="shared" ca="1" si="88"/>
        <v>0</v>
      </c>
      <c r="AK120" s="11">
        <f t="shared" ca="1" si="88"/>
        <v>0</v>
      </c>
      <c r="AL120" s="11">
        <f t="shared" ca="1" si="88"/>
        <v>0</v>
      </c>
      <c r="AM120" s="11">
        <f t="shared" ca="1" si="88"/>
        <v>0</v>
      </c>
      <c r="AN120" s="11">
        <f t="shared" ca="1" si="88"/>
        <v>0</v>
      </c>
      <c r="AO120" s="11">
        <f t="shared" ca="1" si="88"/>
        <v>0</v>
      </c>
      <c r="AP120" s="11">
        <f t="shared" ca="1" si="88"/>
        <v>0</v>
      </c>
      <c r="AQ120" s="11">
        <f t="shared" ca="1" si="88"/>
        <v>0</v>
      </c>
      <c r="AR120" s="11">
        <f t="shared" ca="1" si="88"/>
        <v>0</v>
      </c>
      <c r="AS120" s="11">
        <f t="shared" ca="1" si="88"/>
        <v>0</v>
      </c>
      <c r="AT120" s="11">
        <f t="shared" ca="1" si="88"/>
        <v>0</v>
      </c>
      <c r="AU120" s="11">
        <f t="shared" ca="1" si="88"/>
        <v>0</v>
      </c>
      <c r="AV120" s="11">
        <f t="shared" ca="1" si="88"/>
        <v>0</v>
      </c>
      <c r="AW120" s="11">
        <f t="shared" ca="1" si="88"/>
        <v>0</v>
      </c>
      <c r="AX120" s="11">
        <f t="shared" ca="1" si="88"/>
        <v>0</v>
      </c>
      <c r="AY120" s="11">
        <f t="shared" ca="1" si="88"/>
        <v>0</v>
      </c>
      <c r="AZ120" s="11">
        <f t="shared" ca="1" si="88"/>
        <v>0</v>
      </c>
      <c r="BA120" s="11">
        <f t="shared" ca="1" si="88"/>
        <v>0</v>
      </c>
      <c r="BB120" s="8" t="s">
        <v>75</v>
      </c>
    </row>
    <row r="121" spans="2:54" x14ac:dyDescent="0.2">
      <c r="B121" s="1" t="s">
        <v>194</v>
      </c>
      <c r="C121" s="45" t="s">
        <v>187</v>
      </c>
      <c r="Z121" s="11"/>
      <c r="AA121" s="11"/>
      <c r="AB121" s="11"/>
      <c r="AC121" s="11"/>
      <c r="AD121" s="11">
        <f t="shared" ref="AD121:BA121" ca="1" si="89">+AD122-AD118-AD119-AD120</f>
        <v>0</v>
      </c>
      <c r="AE121" s="11">
        <f t="shared" ca="1" si="89"/>
        <v>0</v>
      </c>
      <c r="AF121" s="11">
        <f t="shared" ca="1" si="89"/>
        <v>0</v>
      </c>
      <c r="AG121" s="11">
        <f t="shared" ca="1" si="89"/>
        <v>0</v>
      </c>
      <c r="AH121" s="11">
        <f t="shared" ca="1" si="89"/>
        <v>0</v>
      </c>
      <c r="AI121" s="11">
        <f t="shared" ca="1" si="89"/>
        <v>5.0000187647875691</v>
      </c>
      <c r="AJ121" s="11">
        <f t="shared" ca="1" si="89"/>
        <v>5.0248944800353001</v>
      </c>
      <c r="AK121" s="11">
        <f t="shared" ca="1" si="89"/>
        <v>5.0498939550603836</v>
      </c>
      <c r="AL121" s="11">
        <f t="shared" ca="1" si="89"/>
        <v>5.075017805583002</v>
      </c>
      <c r="AM121" s="11">
        <f t="shared" ca="1" si="89"/>
        <v>5.1002666503870842</v>
      </c>
      <c r="AN121" s="11">
        <f t="shared" ca="1" si="89"/>
        <v>5.1256411113340619</v>
      </c>
      <c r="AO121" s="11">
        <f t="shared" ca="1" si="89"/>
        <v>5.1511418133804909</v>
      </c>
      <c r="AP121" s="11">
        <f t="shared" ca="1" si="89"/>
        <v>5.1767693845913527</v>
      </c>
      <c r="AQ121" s="11">
        <f t="shared" ca="1" si="89"/>
        <v>5.2025244561566524</v>
      </c>
      <c r="AR121" s="11">
        <f t="shared" ca="1" si="89"/>
        <v>5.2284076624059708</v>
      </c>
      <c r="AS121" s="11">
        <f t="shared" ca="1" si="89"/>
        <v>5.2544196408259722</v>
      </c>
      <c r="AT121" s="11">
        <f t="shared" ca="1" si="89"/>
        <v>5.280561032074047</v>
      </c>
      <c r="AU121" s="11">
        <f t="shared" ca="1" si="89"/>
        <v>5.3068324799946822</v>
      </c>
      <c r="AV121" s="11">
        <f t="shared" ca="1" si="89"/>
        <v>5.3332346316362873</v>
      </c>
      <c r="AW121" s="11">
        <f t="shared" ca="1" si="89"/>
        <v>5.3597681372666557</v>
      </c>
      <c r="AX121" s="11">
        <f t="shared" ca="1" si="89"/>
        <v>5.3864336503872892</v>
      </c>
      <c r="AY121" s="11">
        <f t="shared" ca="1" si="89"/>
        <v>5.41323182775227</v>
      </c>
      <c r="AZ121" s="11">
        <f t="shared" ca="1" si="89"/>
        <v>5.44016332938304</v>
      </c>
      <c r="BA121" s="11">
        <f t="shared" ca="1" si="89"/>
        <v>5.4672288185838624</v>
      </c>
      <c r="BB121" s="8" t="s">
        <v>75</v>
      </c>
    </row>
    <row r="122" spans="2:54" x14ac:dyDescent="0.2">
      <c r="B122" s="1" t="s">
        <v>167</v>
      </c>
      <c r="C122" s="45" t="s">
        <v>187</v>
      </c>
      <c r="Y122" s="12"/>
      <c r="Z122" s="12"/>
      <c r="AA122" s="12"/>
      <c r="AB122" s="12"/>
      <c r="AC122" s="12"/>
      <c r="AD122" s="11">
        <f ca="1">+AD116*AD$12</f>
        <v>0</v>
      </c>
      <c r="AE122" s="11">
        <f t="shared" ref="AE122:BA122" ca="1" si="90">+AE116*AE$12</f>
        <v>0</v>
      </c>
      <c r="AF122" s="11">
        <f t="shared" ca="1" si="90"/>
        <v>0</v>
      </c>
      <c r="AG122" s="11">
        <f t="shared" ca="1" si="90"/>
        <v>0</v>
      </c>
      <c r="AH122" s="11">
        <f t="shared" ca="1" si="90"/>
        <v>1005.0037717222833</v>
      </c>
      <c r="AI122" s="11">
        <f t="shared" ca="1" si="90"/>
        <v>1010.0037904870709</v>
      </c>
      <c r="AJ122" s="11">
        <f t="shared" ca="1" si="90"/>
        <v>1015.0286849671062</v>
      </c>
      <c r="AK122" s="11">
        <f t="shared" ca="1" si="90"/>
        <v>1020.0785789221666</v>
      </c>
      <c r="AL122" s="11">
        <f t="shared" ca="1" si="90"/>
        <v>1025.1535967277496</v>
      </c>
      <c r="AM122" s="11">
        <f t="shared" ca="1" si="90"/>
        <v>1030.2538633781367</v>
      </c>
      <c r="AN122" s="11">
        <f t="shared" ca="1" si="90"/>
        <v>1035.3795044894707</v>
      </c>
      <c r="AO122" s="11">
        <f t="shared" ca="1" si="90"/>
        <v>1040.5306463028512</v>
      </c>
      <c r="AP122" s="11">
        <f t="shared" ca="1" si="90"/>
        <v>1045.7074156874426</v>
      </c>
      <c r="AQ122" s="11">
        <f t="shared" ca="1" si="90"/>
        <v>1050.9099401435992</v>
      </c>
      <c r="AR122" s="11">
        <f t="shared" ca="1" si="90"/>
        <v>1056.1383478060052</v>
      </c>
      <c r="AS122" s="11">
        <f t="shared" ca="1" si="90"/>
        <v>1061.3927674468312</v>
      </c>
      <c r="AT122" s="11">
        <f t="shared" ca="1" si="90"/>
        <v>1066.6733284789052</v>
      </c>
      <c r="AU122" s="11">
        <f t="shared" ca="1" si="90"/>
        <v>1071.9801609588999</v>
      </c>
      <c r="AV122" s="11">
        <f t="shared" ca="1" si="90"/>
        <v>1077.3133955905362</v>
      </c>
      <c r="AW122" s="11">
        <f t="shared" ca="1" si="90"/>
        <v>1082.6731637278028</v>
      </c>
      <c r="AX122" s="11">
        <f t="shared" ca="1" si="90"/>
        <v>1088.0595973781901</v>
      </c>
      <c r="AY122" s="11">
        <f t="shared" ca="1" si="90"/>
        <v>1093.4728292059424</v>
      </c>
      <c r="AZ122" s="11">
        <f t="shared" ca="1" si="90"/>
        <v>1098.9129925353254</v>
      </c>
      <c r="BA122" s="11">
        <f t="shared" ca="1" si="90"/>
        <v>1104.3802213539093</v>
      </c>
      <c r="BB122" s="8" t="s">
        <v>75</v>
      </c>
    </row>
    <row r="123" spans="2:54" x14ac:dyDescent="0.2">
      <c r="BB123" s="8" t="s">
        <v>75</v>
      </c>
    </row>
    <row r="124" spans="2:54" x14ac:dyDescent="0.2">
      <c r="B124" s="1" t="s">
        <v>175</v>
      </c>
      <c r="C124" s="45" t="s">
        <v>164</v>
      </c>
      <c r="D124" s="48">
        <f ca="1">+Financing!$D$31</f>
        <v>4.4999999999999998E-2</v>
      </c>
      <c r="Y124" s="11">
        <f t="shared" ref="Y124:BA124" ca="1" si="91">-IFERROR(IF(Circ=1,AVERAGE(Y116,Y113)*$D124/4,Y113*$D124/4),0)</f>
        <v>0</v>
      </c>
      <c r="Z124" s="11">
        <f t="shared" ca="1" si="91"/>
        <v>0</v>
      </c>
      <c r="AA124" s="11">
        <f t="shared" ca="1" si="91"/>
        <v>0</v>
      </c>
      <c r="AB124" s="11">
        <f t="shared" ca="1" si="91"/>
        <v>0</v>
      </c>
      <c r="AC124" s="11">
        <f t="shared" ca="1" si="91"/>
        <v>0</v>
      </c>
      <c r="AD124" s="11">
        <f t="shared" ca="1" si="91"/>
        <v>0</v>
      </c>
      <c r="AE124" s="11">
        <f t="shared" ca="1" si="91"/>
        <v>0</v>
      </c>
      <c r="AF124" s="11">
        <f t="shared" ca="1" si="91"/>
        <v>0</v>
      </c>
      <c r="AG124" s="11">
        <f t="shared" ca="1" si="91"/>
        <v>0</v>
      </c>
      <c r="AH124" s="11">
        <f t="shared" ca="1" si="91"/>
        <v>-0.984375</v>
      </c>
      <c r="AI124" s="11">
        <f t="shared" ca="1" si="91"/>
        <v>-1.96875</v>
      </c>
      <c r="AJ124" s="11">
        <f t="shared" ca="1" si="91"/>
        <v>-1.96875</v>
      </c>
      <c r="AK124" s="11">
        <f t="shared" ca="1" si="91"/>
        <v>-1.96875</v>
      </c>
      <c r="AL124" s="11">
        <f t="shared" ca="1" si="91"/>
        <v>-1.96875</v>
      </c>
      <c r="AM124" s="11">
        <f t="shared" ca="1" si="91"/>
        <v>-1.96875</v>
      </c>
      <c r="AN124" s="11">
        <f t="shared" ca="1" si="91"/>
        <v>-1.96875</v>
      </c>
      <c r="AO124" s="11">
        <f t="shared" ca="1" si="91"/>
        <v>-1.96875</v>
      </c>
      <c r="AP124" s="11">
        <f t="shared" ca="1" si="91"/>
        <v>-1.96875</v>
      </c>
      <c r="AQ124" s="11">
        <f t="shared" ca="1" si="91"/>
        <v>-1.96875</v>
      </c>
      <c r="AR124" s="11">
        <f t="shared" ca="1" si="91"/>
        <v>-1.96875</v>
      </c>
      <c r="AS124" s="11">
        <f t="shared" ca="1" si="91"/>
        <v>-1.96875</v>
      </c>
      <c r="AT124" s="11">
        <f t="shared" ca="1" si="91"/>
        <v>-1.96875</v>
      </c>
      <c r="AU124" s="11">
        <f t="shared" ca="1" si="91"/>
        <v>-1.96875</v>
      </c>
      <c r="AV124" s="11">
        <f t="shared" ca="1" si="91"/>
        <v>-1.96875</v>
      </c>
      <c r="AW124" s="11">
        <f t="shared" ca="1" si="91"/>
        <v>-1.96875</v>
      </c>
      <c r="AX124" s="11">
        <f t="shared" ca="1" si="91"/>
        <v>-1.96875</v>
      </c>
      <c r="AY124" s="11">
        <f t="shared" ca="1" si="91"/>
        <v>-1.96875</v>
      </c>
      <c r="AZ124" s="11">
        <f t="shared" ca="1" si="91"/>
        <v>-1.96875</v>
      </c>
      <c r="BA124" s="11">
        <f t="shared" ca="1" si="91"/>
        <v>-1.96875</v>
      </c>
      <c r="BB124" s="8" t="s">
        <v>75</v>
      </c>
    </row>
    <row r="125" spans="2:54" x14ac:dyDescent="0.2">
      <c r="B125" s="1" t="s">
        <v>175</v>
      </c>
      <c r="C125" s="45" t="s">
        <v>187</v>
      </c>
      <c r="D125" s="48"/>
      <c r="Y125" s="11">
        <f t="shared" ref="Y125:BA125" ca="1" si="92">+Y124*Y$13</f>
        <v>0</v>
      </c>
      <c r="Z125" s="11">
        <f t="shared" ca="1" si="92"/>
        <v>0</v>
      </c>
      <c r="AA125" s="11">
        <f t="shared" ca="1" si="92"/>
        <v>0</v>
      </c>
      <c r="AB125" s="11">
        <f t="shared" ca="1" si="92"/>
        <v>0</v>
      </c>
      <c r="AC125" s="11">
        <f t="shared" ca="1" si="92"/>
        <v>0</v>
      </c>
      <c r="AD125" s="11">
        <f t="shared" ca="1" si="92"/>
        <v>0</v>
      </c>
      <c r="AE125" s="11">
        <f t="shared" ca="1" si="92"/>
        <v>0</v>
      </c>
      <c r="AF125" s="11">
        <f t="shared" ca="1" si="92"/>
        <v>0</v>
      </c>
      <c r="AG125" s="11">
        <f t="shared" ca="1" si="92"/>
        <v>0</v>
      </c>
      <c r="AH125" s="11">
        <f t="shared" ca="1" si="92"/>
        <v>-5.6391532797597792</v>
      </c>
      <c r="AI125" s="11">
        <f t="shared" ca="1" si="92"/>
        <v>-11.334417537427617</v>
      </c>
      <c r="AJ125" s="11">
        <f t="shared" ca="1" si="92"/>
        <v>-11.390807674429745</v>
      </c>
      <c r="AK125" s="11">
        <f t="shared" ca="1" si="92"/>
        <v>-11.447478359377161</v>
      </c>
      <c r="AL125" s="11">
        <f t="shared" ca="1" si="92"/>
        <v>-11.504430988030778</v>
      </c>
      <c r="AM125" s="11">
        <f t="shared" ca="1" si="92"/>
        <v>-11.561666963095611</v>
      </c>
      <c r="AN125" s="11">
        <f t="shared" ca="1" si="92"/>
        <v>-11.61918769425529</v>
      </c>
      <c r="AO125" s="11">
        <f t="shared" ca="1" si="92"/>
        <v>-11.676994598206811</v>
      </c>
      <c r="AP125" s="11">
        <f t="shared" ca="1" si="92"/>
        <v>-11.735089098695401</v>
      </c>
      <c r="AQ125" s="11">
        <f t="shared" ca="1" si="92"/>
        <v>-11.793472626549608</v>
      </c>
      <c r="AR125" s="11">
        <f t="shared" ca="1" si="92"/>
        <v>-11.852146619716523</v>
      </c>
      <c r="AS125" s="11">
        <f t="shared" ca="1" si="92"/>
        <v>-11.911112523297204</v>
      </c>
      <c r="AT125" s="11">
        <f t="shared" ca="1" si="92"/>
        <v>-11.970371789582266</v>
      </c>
      <c r="AU125" s="11">
        <f t="shared" ca="1" si="92"/>
        <v>-12.029925878087655</v>
      </c>
      <c r="AV125" s="11">
        <f t="shared" ca="1" si="92"/>
        <v>-12.089776255590579</v>
      </c>
      <c r="AW125" s="11">
        <f t="shared" ca="1" si="92"/>
        <v>-12.149924396165657</v>
      </c>
      <c r="AX125" s="11">
        <f t="shared" ca="1" si="92"/>
        <v>-12.210371781221209</v>
      </c>
      <c r="AY125" s="11">
        <f t="shared" ca="1" si="92"/>
        <v>-12.271119899535746</v>
      </c>
      <c r="AZ125" s="11">
        <f t="shared" ca="1" si="92"/>
        <v>-12.332170247294631</v>
      </c>
      <c r="BA125" s="11">
        <f t="shared" ca="1" si="92"/>
        <v>-12.393524328126945</v>
      </c>
      <c r="BB125" s="8" t="s">
        <v>75</v>
      </c>
    </row>
    <row r="126" spans="2:54" x14ac:dyDescent="0.2">
      <c r="BB126" s="8" t="s">
        <v>75</v>
      </c>
    </row>
  </sheetData>
  <conditionalFormatting sqref="C1">
    <cfRule type="cellIs" dxfId="27" priority="2" operator="equal">
      <formula>"OK"</formula>
    </cfRule>
  </conditionalFormatting>
  <conditionalFormatting sqref="C1">
    <cfRule type="cellIs" dxfId="26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A1B9E-1809-4856-B3E7-24CD5AC9797C}">
  <sheetPr>
    <tabColor theme="5" tint="0.39997558519241921"/>
  </sheetPr>
  <dimension ref="A1:BB139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 customWidth="1"/>
    <col min="5" max="6" width="9.140625" style="1" customWidth="1" outlineLevel="1"/>
    <col min="7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4" s="5" customFormat="1" ht="16.5" x14ac:dyDescent="0.3">
      <c r="A2" s="6" t="s">
        <v>301</v>
      </c>
      <c r="D2" s="211">
        <f ca="1">+Ctrl!G10</f>
        <v>0.32102203236261162</v>
      </c>
    </row>
    <row r="3" spans="1:54" x14ac:dyDescent="0.2">
      <c r="A3" s="1" t="s">
        <v>1</v>
      </c>
      <c r="E3" s="9">
        <v>2017</v>
      </c>
      <c r="F3" s="8">
        <f t="shared" ref="F3:N3" si="0">+E3+1</f>
        <v>2018</v>
      </c>
      <c r="G3" s="8">
        <f t="shared" si="0"/>
        <v>2019</v>
      </c>
      <c r="H3" s="8">
        <f t="shared" si="0"/>
        <v>2020</v>
      </c>
      <c r="I3" s="8">
        <f t="shared" si="0"/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BA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si="1"/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si="1"/>
        <v>2Q24</v>
      </c>
      <c r="AR3" s="8" t="str">
        <f t="shared" si="1"/>
        <v>3Q24</v>
      </c>
      <c r="AS3" s="8" t="str">
        <f t="shared" si="1"/>
        <v>4Q24</v>
      </c>
      <c r="AT3" s="8" t="str">
        <f t="shared" si="1"/>
        <v>1Q25</v>
      </c>
      <c r="AU3" s="8" t="str">
        <f t="shared" si="1"/>
        <v>2Q25</v>
      </c>
      <c r="AV3" s="8" t="str">
        <f t="shared" si="1"/>
        <v>3Q25</v>
      </c>
      <c r="AW3" s="8" t="str">
        <f t="shared" si="1"/>
        <v>4Q25</v>
      </c>
      <c r="AX3" s="8" t="str">
        <f t="shared" si="1"/>
        <v>1Q26</v>
      </c>
      <c r="AY3" s="8" t="str">
        <f t="shared" si="1"/>
        <v>2Q26</v>
      </c>
      <c r="AZ3" s="8" t="str">
        <f t="shared" si="1"/>
        <v>3Q26</v>
      </c>
      <c r="BA3" s="8" t="str">
        <f t="shared" si="1"/>
        <v>4Q26</v>
      </c>
      <c r="BB3" s="8" t="s">
        <v>75</v>
      </c>
    </row>
    <row r="4" spans="1:54" hidden="1" outlineLevel="1" x14ac:dyDescent="0.2">
      <c r="A4" s="1" t="s">
        <v>2</v>
      </c>
      <c r="E4" s="10">
        <v>42736</v>
      </c>
      <c r="F4" s="7">
        <f t="shared" ref="F4:N4" si="2">+E5+1</f>
        <v>43101</v>
      </c>
      <c r="G4" s="7">
        <f t="shared" si="2"/>
        <v>43466</v>
      </c>
      <c r="H4" s="7">
        <f t="shared" si="2"/>
        <v>43831</v>
      </c>
      <c r="I4" s="7">
        <f t="shared" si="2"/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R4" s="10">
        <v>43101</v>
      </c>
      <c r="S4" s="7">
        <f t="shared" ref="S4:BA4" si="3">+R5+1</f>
        <v>43191</v>
      </c>
      <c r="T4" s="7">
        <f t="shared" si="3"/>
        <v>43282</v>
      </c>
      <c r="U4" s="7">
        <f t="shared" si="3"/>
        <v>43374</v>
      </c>
      <c r="V4" s="7">
        <f t="shared" si="3"/>
        <v>43466</v>
      </c>
      <c r="W4" s="7">
        <f t="shared" si="3"/>
        <v>43556</v>
      </c>
      <c r="X4" s="7">
        <f t="shared" si="3"/>
        <v>43647</v>
      </c>
      <c r="Y4" s="7">
        <f t="shared" si="3"/>
        <v>43739</v>
      </c>
      <c r="Z4" s="7">
        <f t="shared" si="3"/>
        <v>43831</v>
      </c>
      <c r="AA4" s="7">
        <f t="shared" si="3"/>
        <v>43922</v>
      </c>
      <c r="AB4" s="7">
        <f t="shared" si="3"/>
        <v>44013</v>
      </c>
      <c r="AC4" s="7">
        <f t="shared" si="3"/>
        <v>44105</v>
      </c>
      <c r="AD4" s="7">
        <f t="shared" si="3"/>
        <v>44197</v>
      </c>
      <c r="AE4" s="7">
        <f t="shared" si="3"/>
        <v>44287</v>
      </c>
      <c r="AF4" s="7">
        <f t="shared" si="3"/>
        <v>44378</v>
      </c>
      <c r="AG4" s="7">
        <f t="shared" si="3"/>
        <v>44470</v>
      </c>
      <c r="AH4" s="7">
        <f t="shared" si="3"/>
        <v>44562</v>
      </c>
      <c r="AI4" s="7">
        <f t="shared" si="3"/>
        <v>44652</v>
      </c>
      <c r="AJ4" s="7">
        <f t="shared" si="3"/>
        <v>44743</v>
      </c>
      <c r="AK4" s="7">
        <f t="shared" si="3"/>
        <v>44835</v>
      </c>
      <c r="AL4" s="7">
        <f t="shared" si="3"/>
        <v>44927</v>
      </c>
      <c r="AM4" s="7">
        <f t="shared" si="3"/>
        <v>45017</v>
      </c>
      <c r="AN4" s="7">
        <f t="shared" si="3"/>
        <v>45108</v>
      </c>
      <c r="AO4" s="7">
        <f t="shared" si="3"/>
        <v>45200</v>
      </c>
      <c r="AP4" s="7">
        <f t="shared" si="3"/>
        <v>45292</v>
      </c>
      <c r="AQ4" s="7">
        <f t="shared" si="3"/>
        <v>45383</v>
      </c>
      <c r="AR4" s="7">
        <f t="shared" si="3"/>
        <v>45474</v>
      </c>
      <c r="AS4" s="7">
        <f t="shared" si="3"/>
        <v>45566</v>
      </c>
      <c r="AT4" s="7">
        <f t="shared" si="3"/>
        <v>45658</v>
      </c>
      <c r="AU4" s="7">
        <f t="shared" si="3"/>
        <v>45748</v>
      </c>
      <c r="AV4" s="7">
        <f t="shared" si="3"/>
        <v>45839</v>
      </c>
      <c r="AW4" s="7">
        <f t="shared" si="3"/>
        <v>45931</v>
      </c>
      <c r="AX4" s="7">
        <f t="shared" si="3"/>
        <v>46023</v>
      </c>
      <c r="AY4" s="7">
        <f t="shared" si="3"/>
        <v>46113</v>
      </c>
      <c r="AZ4" s="7">
        <f t="shared" si="3"/>
        <v>46204</v>
      </c>
      <c r="BA4" s="7">
        <f t="shared" si="3"/>
        <v>46296</v>
      </c>
      <c r="BB4" s="8" t="s">
        <v>75</v>
      </c>
    </row>
    <row r="5" spans="1:54" hidden="1" outlineLevel="1" x14ac:dyDescent="0.2">
      <c r="A5" s="1" t="s">
        <v>3</v>
      </c>
      <c r="E5" s="7">
        <f t="shared" ref="E5:N5" si="4">+EOMONTH(E4,11)</f>
        <v>43100</v>
      </c>
      <c r="F5" s="7">
        <f t="shared" si="4"/>
        <v>43465</v>
      </c>
      <c r="G5" s="7">
        <f t="shared" si="4"/>
        <v>43830</v>
      </c>
      <c r="H5" s="7">
        <f t="shared" si="4"/>
        <v>44196</v>
      </c>
      <c r="I5" s="7">
        <f t="shared" si="4"/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R5" s="7">
        <f t="shared" ref="R5:AC5" si="5">+EOMONTH(R4,2)</f>
        <v>43190</v>
      </c>
      <c r="S5" s="7">
        <f t="shared" si="5"/>
        <v>43281</v>
      </c>
      <c r="T5" s="7">
        <f t="shared" si="5"/>
        <v>43373</v>
      </c>
      <c r="U5" s="7">
        <f t="shared" si="5"/>
        <v>43465</v>
      </c>
      <c r="V5" s="7">
        <f t="shared" si="5"/>
        <v>43555</v>
      </c>
      <c r="W5" s="7">
        <f t="shared" si="5"/>
        <v>43646</v>
      </c>
      <c r="X5" s="7">
        <f t="shared" si="5"/>
        <v>43738</v>
      </c>
      <c r="Y5" s="7">
        <f t="shared" si="5"/>
        <v>43830</v>
      </c>
      <c r="Z5" s="7">
        <f t="shared" si="5"/>
        <v>43921</v>
      </c>
      <c r="AA5" s="7">
        <f t="shared" si="5"/>
        <v>44012</v>
      </c>
      <c r="AB5" s="7">
        <f t="shared" si="5"/>
        <v>44104</v>
      </c>
      <c r="AC5" s="7">
        <f t="shared" si="5"/>
        <v>44196</v>
      </c>
      <c r="AD5" s="7">
        <f t="shared" ref="AD5:BA5" si="6">+EOMONTH(AD4,2)</f>
        <v>44286</v>
      </c>
      <c r="AE5" s="7">
        <f t="shared" si="6"/>
        <v>44377</v>
      </c>
      <c r="AF5" s="7">
        <f t="shared" si="6"/>
        <v>44469</v>
      </c>
      <c r="AG5" s="7">
        <f t="shared" si="6"/>
        <v>44561</v>
      </c>
      <c r="AH5" s="7">
        <f t="shared" si="6"/>
        <v>44651</v>
      </c>
      <c r="AI5" s="7">
        <f t="shared" si="6"/>
        <v>44742</v>
      </c>
      <c r="AJ5" s="7">
        <f t="shared" si="6"/>
        <v>44834</v>
      </c>
      <c r="AK5" s="7">
        <f t="shared" si="6"/>
        <v>44926</v>
      </c>
      <c r="AL5" s="7">
        <f t="shared" si="6"/>
        <v>45016</v>
      </c>
      <c r="AM5" s="7">
        <f t="shared" si="6"/>
        <v>45107</v>
      </c>
      <c r="AN5" s="7">
        <f t="shared" si="6"/>
        <v>45199</v>
      </c>
      <c r="AO5" s="7">
        <f t="shared" si="6"/>
        <v>45291</v>
      </c>
      <c r="AP5" s="7">
        <f t="shared" si="6"/>
        <v>45382</v>
      </c>
      <c r="AQ5" s="7">
        <f t="shared" si="6"/>
        <v>45473</v>
      </c>
      <c r="AR5" s="7">
        <f t="shared" si="6"/>
        <v>45565</v>
      </c>
      <c r="AS5" s="7">
        <f t="shared" si="6"/>
        <v>45657</v>
      </c>
      <c r="AT5" s="7">
        <f t="shared" si="6"/>
        <v>45747</v>
      </c>
      <c r="AU5" s="7">
        <f t="shared" si="6"/>
        <v>45838</v>
      </c>
      <c r="AV5" s="7">
        <f t="shared" si="6"/>
        <v>45930</v>
      </c>
      <c r="AW5" s="7">
        <f t="shared" si="6"/>
        <v>46022</v>
      </c>
      <c r="AX5" s="7">
        <f t="shared" si="6"/>
        <v>46112</v>
      </c>
      <c r="AY5" s="7">
        <f t="shared" si="6"/>
        <v>46203</v>
      </c>
      <c r="AZ5" s="7">
        <f t="shared" si="6"/>
        <v>46295</v>
      </c>
      <c r="BA5" s="7">
        <f t="shared" si="6"/>
        <v>46387</v>
      </c>
      <c r="BB5" s="8" t="s">
        <v>75</v>
      </c>
    </row>
    <row r="6" spans="1:54" hidden="1" outlineLevel="1" x14ac:dyDescent="0.2">
      <c r="A6" s="1" t="s">
        <v>0</v>
      </c>
      <c r="R6" s="1">
        <f t="shared" ref="R6:AC6" si="7">+YEAR(R5)</f>
        <v>2018</v>
      </c>
      <c r="S6" s="1">
        <f t="shared" si="7"/>
        <v>2018</v>
      </c>
      <c r="T6" s="1">
        <f t="shared" si="7"/>
        <v>2018</v>
      </c>
      <c r="U6" s="1">
        <f t="shared" si="7"/>
        <v>2018</v>
      </c>
      <c r="V6" s="1">
        <f t="shared" si="7"/>
        <v>2019</v>
      </c>
      <c r="W6" s="1">
        <f t="shared" si="7"/>
        <v>2019</v>
      </c>
      <c r="X6" s="1">
        <f t="shared" si="7"/>
        <v>2019</v>
      </c>
      <c r="Y6" s="1">
        <f t="shared" si="7"/>
        <v>2019</v>
      </c>
      <c r="Z6" s="1">
        <f t="shared" si="7"/>
        <v>2020</v>
      </c>
      <c r="AA6" s="1">
        <f t="shared" si="7"/>
        <v>2020</v>
      </c>
      <c r="AB6" s="1">
        <f t="shared" si="7"/>
        <v>2020</v>
      </c>
      <c r="AC6" s="1">
        <f t="shared" si="7"/>
        <v>2020</v>
      </c>
      <c r="AD6" s="1">
        <f t="shared" ref="AD6:BA6" si="8">+YEAR(AD5)</f>
        <v>2021</v>
      </c>
      <c r="AE6" s="1">
        <f t="shared" si="8"/>
        <v>2021</v>
      </c>
      <c r="AF6" s="1">
        <f t="shared" si="8"/>
        <v>2021</v>
      </c>
      <c r="AG6" s="1">
        <f t="shared" si="8"/>
        <v>2021</v>
      </c>
      <c r="AH6" s="1">
        <f t="shared" si="8"/>
        <v>2022</v>
      </c>
      <c r="AI6" s="1">
        <f t="shared" si="8"/>
        <v>2022</v>
      </c>
      <c r="AJ6" s="1">
        <f t="shared" si="8"/>
        <v>2022</v>
      </c>
      <c r="AK6" s="1">
        <f t="shared" si="8"/>
        <v>2022</v>
      </c>
      <c r="AL6" s="1">
        <f t="shared" si="8"/>
        <v>2023</v>
      </c>
      <c r="AM6" s="1">
        <f t="shared" si="8"/>
        <v>2023</v>
      </c>
      <c r="AN6" s="1">
        <f t="shared" si="8"/>
        <v>2023</v>
      </c>
      <c r="AO6" s="1">
        <f t="shared" si="8"/>
        <v>2023</v>
      </c>
      <c r="AP6" s="1">
        <f t="shared" si="8"/>
        <v>2024</v>
      </c>
      <c r="AQ6" s="1">
        <f t="shared" si="8"/>
        <v>2024</v>
      </c>
      <c r="AR6" s="1">
        <f t="shared" si="8"/>
        <v>2024</v>
      </c>
      <c r="AS6" s="1">
        <f t="shared" si="8"/>
        <v>2024</v>
      </c>
      <c r="AT6" s="1">
        <f t="shared" si="8"/>
        <v>2025</v>
      </c>
      <c r="AU6" s="1">
        <f t="shared" si="8"/>
        <v>2025</v>
      </c>
      <c r="AV6" s="1">
        <f t="shared" si="8"/>
        <v>2025</v>
      </c>
      <c r="AW6" s="1">
        <f t="shared" si="8"/>
        <v>2025</v>
      </c>
      <c r="AX6" s="1">
        <f t="shared" si="8"/>
        <v>2026</v>
      </c>
      <c r="AY6" s="1">
        <f t="shared" si="8"/>
        <v>2026</v>
      </c>
      <c r="AZ6" s="1">
        <f t="shared" si="8"/>
        <v>2026</v>
      </c>
      <c r="BA6" s="1">
        <f t="shared" si="8"/>
        <v>2026</v>
      </c>
      <c r="BB6" s="8" t="s">
        <v>75</v>
      </c>
    </row>
    <row r="7" spans="1:54" s="99" customFormat="1" collapsed="1" x14ac:dyDescent="0.2">
      <c r="A7" s="98" t="s">
        <v>75</v>
      </c>
      <c r="B7" s="99" t="s">
        <v>16</v>
      </c>
      <c r="H7" s="259"/>
      <c r="BB7" s="100" t="s">
        <v>75</v>
      </c>
    </row>
    <row r="8" spans="1:54" s="2" customFormat="1" x14ac:dyDescent="0.2">
      <c r="B8" s="2" t="s">
        <v>6</v>
      </c>
      <c r="C8" s="45" t="s">
        <v>201</v>
      </c>
      <c r="F8" s="13">
        <f t="shared" ref="F8:N17" si="9">+SUMIFS(8:8,$6:$6,F$3)</f>
        <v>3560.4319860000005</v>
      </c>
      <c r="G8" s="13">
        <f t="shared" si="9"/>
        <v>4337.4387420000003</v>
      </c>
      <c r="H8" s="13">
        <f t="shared" si="9"/>
        <v>6331.0911839999999</v>
      </c>
      <c r="I8" s="13">
        <f t="shared" ca="1" si="9"/>
        <v>6891.7743113334627</v>
      </c>
      <c r="J8" s="13">
        <f t="shared" ca="1" si="9"/>
        <v>7496.2844948345301</v>
      </c>
      <c r="K8" s="13">
        <f t="shared" ca="1" si="9"/>
        <v>8147.6678986011884</v>
      </c>
      <c r="L8" s="13">
        <f t="shared" ca="1" si="9"/>
        <v>8849.1692007038291</v>
      </c>
      <c r="M8" s="13">
        <f t="shared" ca="1" si="9"/>
        <v>9604.2440133645068</v>
      </c>
      <c r="N8" s="13">
        <f t="shared" ca="1" si="9"/>
        <v>10360.880658332933</v>
      </c>
      <c r="P8" s="131">
        <f ca="1">+IFERROR((N8/I8)^(1/5)-1,"NM")</f>
        <v>8.4958495687075919E-2</v>
      </c>
      <c r="R8" s="13">
        <f t="shared" ref="R8:AC8" si="10">+R9+R10+R11</f>
        <v>513.376713</v>
      </c>
      <c r="S8" s="13">
        <f t="shared" si="10"/>
        <v>1105.9087079999999</v>
      </c>
      <c r="T8" s="13">
        <f t="shared" si="10"/>
        <v>1197.4353640000002</v>
      </c>
      <c r="U8" s="13">
        <f t="shared" si="10"/>
        <v>743.71120100000007</v>
      </c>
      <c r="V8" s="13">
        <f t="shared" si="10"/>
        <v>963.06323999999995</v>
      </c>
      <c r="W8" s="13">
        <f t="shared" si="10"/>
        <v>1104.72498</v>
      </c>
      <c r="X8" s="13">
        <f t="shared" si="10"/>
        <v>1595.4731100000001</v>
      </c>
      <c r="Y8" s="13">
        <f t="shared" si="10"/>
        <v>674.177412</v>
      </c>
      <c r="Z8" s="13">
        <f t="shared" si="10"/>
        <v>1413.4486900000004</v>
      </c>
      <c r="AA8" s="13">
        <f t="shared" si="10"/>
        <v>2079.7927159999999</v>
      </c>
      <c r="AB8" s="13">
        <f t="shared" si="10"/>
        <v>1958.1253479999996</v>
      </c>
      <c r="AC8" s="13">
        <f t="shared" si="10"/>
        <v>879.7244300000001</v>
      </c>
      <c r="AD8" s="13">
        <f t="shared" ref="AD8:BA8" ca="1" si="11">+AD9+AD10+AD11</f>
        <v>1538.6076489244267</v>
      </c>
      <c r="AE8" s="13">
        <f t="shared" ca="1" si="11"/>
        <v>2253.7561184518891</v>
      </c>
      <c r="AF8" s="13">
        <f t="shared" ca="1" si="11"/>
        <v>2133.7656040621487</v>
      </c>
      <c r="AG8" s="13">
        <f t="shared" ca="1" si="11"/>
        <v>965.64493989499806</v>
      </c>
      <c r="AH8" s="13">
        <f t="shared" ca="1" si="11"/>
        <v>1673.5499390304913</v>
      </c>
      <c r="AI8" s="13">
        <f t="shared" ca="1" si="11"/>
        <v>2441.3177610481303</v>
      </c>
      <c r="AJ8" s="13">
        <f t="shared" ca="1" si="11"/>
        <v>2323.1351752979831</v>
      </c>
      <c r="AK8" s="13">
        <f t="shared" ca="1" si="11"/>
        <v>1058.2816194579268</v>
      </c>
      <c r="AL8" s="13">
        <f t="shared" ca="1" si="11"/>
        <v>1818.9555428406388</v>
      </c>
      <c r="AM8" s="13">
        <f t="shared" ca="1" si="11"/>
        <v>2643.4227784736786</v>
      </c>
      <c r="AN8" s="13">
        <f t="shared" ca="1" si="11"/>
        <v>2527.188306656376</v>
      </c>
      <c r="AO8" s="13">
        <f t="shared" ca="1" si="11"/>
        <v>1158.1012706304944</v>
      </c>
      <c r="AP8" s="13">
        <f t="shared" ca="1" si="11"/>
        <v>1975.5487563244433</v>
      </c>
      <c r="AQ8" s="13">
        <f t="shared" ca="1" si="11"/>
        <v>2861.0778984317049</v>
      </c>
      <c r="AR8" s="13">
        <f t="shared" ca="1" si="11"/>
        <v>2746.941429806735</v>
      </c>
      <c r="AS8" s="13">
        <f t="shared" ca="1" si="11"/>
        <v>1265.6011161409458</v>
      </c>
      <c r="AT8" s="13">
        <f t="shared" ca="1" si="11"/>
        <v>2144.100961403482</v>
      </c>
      <c r="AU8" s="13">
        <f t="shared" ca="1" si="11"/>
        <v>3095.3552952581149</v>
      </c>
      <c r="AV8" s="13">
        <f t="shared" ca="1" si="11"/>
        <v>2983.4770538989592</v>
      </c>
      <c r="AW8" s="13">
        <f t="shared" ca="1" si="11"/>
        <v>1381.3107028039499</v>
      </c>
      <c r="AX8" s="13">
        <f t="shared" ca="1" si="11"/>
        <v>2313.0018078025873</v>
      </c>
      <c r="AY8" s="13">
        <f t="shared" ca="1" si="11"/>
        <v>3330.117282486965</v>
      </c>
      <c r="AZ8" s="13">
        <f t="shared" ca="1" si="11"/>
        <v>3220.5019394172655</v>
      </c>
      <c r="BA8" s="13">
        <f t="shared" ca="1" si="11"/>
        <v>1497.2596286261164</v>
      </c>
      <c r="BB8" s="83" t="s">
        <v>75</v>
      </c>
    </row>
    <row r="9" spans="1:54" x14ac:dyDescent="0.2">
      <c r="B9" s="19" t="s">
        <v>11</v>
      </c>
      <c r="C9" s="45" t="s">
        <v>201</v>
      </c>
      <c r="D9" s="2"/>
      <c r="E9" s="2"/>
      <c r="F9" s="11">
        <f t="shared" si="9"/>
        <v>2921.1474700000003</v>
      </c>
      <c r="G9" s="11">
        <f t="shared" si="9"/>
        <v>3527.2346000000007</v>
      </c>
      <c r="H9" s="11">
        <f t="shared" si="9"/>
        <v>5144.7331690000001</v>
      </c>
      <c r="I9" s="11">
        <f t="shared" ca="1" si="9"/>
        <v>5680.2490881880522</v>
      </c>
      <c r="J9" s="11">
        <f t="shared" ca="1" si="9"/>
        <v>6257.6248121833642</v>
      </c>
      <c r="K9" s="11">
        <f t="shared" ca="1" si="9"/>
        <v>6879.7697728689418</v>
      </c>
      <c r="L9" s="11">
        <f t="shared" ca="1" si="9"/>
        <v>7549.783005465627</v>
      </c>
      <c r="M9" s="11">
        <f t="shared" ca="1" si="9"/>
        <v>8270.9650112106319</v>
      </c>
      <c r="N9" s="11">
        <f t="shared" ca="1" si="9"/>
        <v>8993.6387437851608</v>
      </c>
      <c r="P9" s="97">
        <f t="shared" ref="P9:P32" ca="1" si="12">+IFERROR((N9/I9)^(1/5)-1,"NM")</f>
        <v>9.6260110176681568E-2</v>
      </c>
      <c r="R9" s="46">
        <f>+SUMIFS(North!13:13,North!$3:$3,Segments!R$3)</f>
        <v>500.37006000000002</v>
      </c>
      <c r="S9" s="46">
        <f>+SUMIFS(North!13:13,North!$3:$3,Segments!S$3)</f>
        <v>772.82811000000004</v>
      </c>
      <c r="T9" s="46">
        <f>+SUMIFS(North!13:13,North!$3:$3,Segments!T$3)</f>
        <v>1036.2882400000001</v>
      </c>
      <c r="U9" s="46">
        <f>+SUMIFS(North!13:13,North!$3:$3,Segments!U$3)</f>
        <v>611.66106000000002</v>
      </c>
      <c r="V9" s="46">
        <f>+SUMIFS(North!13:13,North!$3:$3,Segments!V$3)</f>
        <v>777.19600000000003</v>
      </c>
      <c r="W9" s="46">
        <f>+SUMIFS(North!13:13,North!$3:$3,Segments!W$3)</f>
        <v>832.73099999999999</v>
      </c>
      <c r="X9" s="46">
        <f>+SUMIFS(North!13:13,North!$3:$3,Segments!X$3)</f>
        <v>1351.9665200000002</v>
      </c>
      <c r="Y9" s="46">
        <f>+SUMIFS(North!13:13,North!$3:$3,Segments!Y$3)</f>
        <v>565.34108000000003</v>
      </c>
      <c r="Z9" s="46">
        <f>+SUMIFS(North!13:13,North!$3:$3,Segments!Z$3)</f>
        <v>1161.7867300000005</v>
      </c>
      <c r="AA9" s="46">
        <f>+SUMIFS(North!13:13,North!$3:$3,Segments!AA$3)</f>
        <v>1611.2918579999998</v>
      </c>
      <c r="AB9" s="46">
        <f>+SUMIFS(North!13:13,North!$3:$3,Segments!AB$3)</f>
        <v>1677.2220499999996</v>
      </c>
      <c r="AC9" s="46">
        <f>+SUMIFS(North!13:13,North!$3:$3,Segments!AC$3)</f>
        <v>694.43253100000015</v>
      </c>
      <c r="AD9" s="46">
        <f ca="1">+SUMIFS(North!13:13,North!$3:$3,Segments!AD$3)</f>
        <v>1282.7172560699003</v>
      </c>
      <c r="AE9" s="46">
        <f ca="1">+SUMIFS(North!13:13,North!$3:$3,Segments!AE$3)</f>
        <v>1779.0114290783215</v>
      </c>
      <c r="AF9" s="46">
        <f ca="1">+SUMIFS(North!13:13,North!$3:$3,Segments!AF$3)</f>
        <v>1851.804303011734</v>
      </c>
      <c r="AG9" s="46">
        <f ca="1">+SUMIFS(North!13:13,North!$3:$3,Segments!AG$3)</f>
        <v>766.716100028097</v>
      </c>
      <c r="AH9" s="46">
        <f ca="1">+SUMIFS(North!13:13,North!$3:$3,Segments!AH$3)</f>
        <v>1413.100588368605</v>
      </c>
      <c r="AI9" s="46">
        <f ca="1">+SUMIFS(North!13:13,North!$3:$3,Segments!AI$3)</f>
        <v>1959.8411771955266</v>
      </c>
      <c r="AJ9" s="46">
        <f ca="1">+SUMIFS(North!13:13,North!$3:$3,Segments!AJ$3)</f>
        <v>2040.033170012018</v>
      </c>
      <c r="AK9" s="46">
        <f ca="1">+SUMIFS(North!13:13,North!$3:$3,Segments!AK$3)</f>
        <v>844.64987660721465</v>
      </c>
      <c r="AL9" s="46">
        <f ca="1">+SUMIFS(North!13:13,North!$3:$3,Segments!AL$3)</f>
        <v>1553.5937365489933</v>
      </c>
      <c r="AM9" s="46">
        <f ca="1">+SUMIFS(North!13:13,North!$3:$3,Segments!AM$3)</f>
        <v>2154.6923146050985</v>
      </c>
      <c r="AN9" s="46">
        <f ca="1">+SUMIFS(North!13:13,North!$3:$3,Segments!AN$3)</f>
        <v>2242.857147870729</v>
      </c>
      <c r="AO9" s="46">
        <f ca="1">+SUMIFS(North!13:13,North!$3:$3,Segments!AO$3)</f>
        <v>928.62657384412068</v>
      </c>
      <c r="AP9" s="46">
        <f ca="1">+SUMIFS(North!13:13,North!$3:$3,Segments!AP$3)</f>
        <v>1704.8965266034161</v>
      </c>
      <c r="AQ9" s="46">
        <f ca="1">+SUMIFS(North!13:13,North!$3:$3,Segments!AQ$3)</f>
        <v>2364.5354359044568</v>
      </c>
      <c r="AR9" s="46">
        <f ca="1">+SUMIFS(North!13:13,North!$3:$3,Segments!AR$3)</f>
        <v>2461.2865455845404</v>
      </c>
      <c r="AS9" s="46">
        <f ca="1">+SUMIFS(North!13:13,North!$3:$3,Segments!AS$3)</f>
        <v>1019.0644973732132</v>
      </c>
      <c r="AT9" s="46">
        <f ca="1">+SUMIFS(North!13:13,North!$3:$3,Segments!AT$3)</f>
        <v>1867.7542797008794</v>
      </c>
      <c r="AU9" s="46">
        <f ca="1">+SUMIFS(North!13:13,North!$3:$3,Segments!AU$3)</f>
        <v>2590.4042333369398</v>
      </c>
      <c r="AV9" s="46">
        <f ca="1">+SUMIFS(North!13:13,North!$3:$3,Segments!AV$3)</f>
        <v>2696.3973516001342</v>
      </c>
      <c r="AW9" s="46">
        <f ca="1">+SUMIFS(North!13:13,North!$3:$3,Segments!AW$3)</f>
        <v>1116.409146572679</v>
      </c>
      <c r="AX9" s="46">
        <f ca="1">+SUMIFS(North!13:13,North!$3:$3,Segments!AX$3)</f>
        <v>2030.9488954457131</v>
      </c>
      <c r="AY9" s="46">
        <f ca="1">+SUMIFS(North!13:13,North!$3:$3,Segments!AY$3)</f>
        <v>2816.7402284288178</v>
      </c>
      <c r="AZ9" s="46">
        <f ca="1">+SUMIFS(North!13:13,North!$3:$3,Segments!AZ$3)</f>
        <v>2931.9944718809897</v>
      </c>
      <c r="BA9" s="46">
        <f ca="1">+SUMIFS(North!13:13,North!$3:$3,Segments!BA$3)</f>
        <v>1213.9551480296393</v>
      </c>
      <c r="BB9" s="8" t="s">
        <v>75</v>
      </c>
    </row>
    <row r="10" spans="1:54" x14ac:dyDescent="0.2">
      <c r="B10" s="19" t="s">
        <v>12</v>
      </c>
      <c r="C10" s="45" t="s">
        <v>201</v>
      </c>
      <c r="D10" s="2"/>
      <c r="E10" s="2"/>
      <c r="F10" s="11">
        <f t="shared" si="9"/>
        <v>372.70988599999998</v>
      </c>
      <c r="G10" s="11">
        <f t="shared" si="9"/>
        <v>341.36425199999996</v>
      </c>
      <c r="H10" s="11">
        <f t="shared" si="9"/>
        <v>241.78286</v>
      </c>
      <c r="I10" s="11">
        <f t="shared" ca="1" si="9"/>
        <v>266.95006814540972</v>
      </c>
      <c r="J10" s="11">
        <f t="shared" ca="1" si="9"/>
        <v>294.08452765116704</v>
      </c>
      <c r="K10" s="11">
        <f t="shared" ca="1" si="9"/>
        <v>323.32297073224618</v>
      </c>
      <c r="L10" s="11">
        <f t="shared" ca="1" si="9"/>
        <v>354.81104023820262</v>
      </c>
      <c r="M10" s="11">
        <f t="shared" ca="1" si="9"/>
        <v>388.70384715387337</v>
      </c>
      <c r="N10" s="11">
        <f t="shared" ca="1" si="9"/>
        <v>422.66675954777452</v>
      </c>
      <c r="P10" s="97">
        <f t="shared" ca="1" si="12"/>
        <v>9.6260110176681568E-2</v>
      </c>
      <c r="R10" s="46">
        <f>+SUMIFS(North!14:14,North!$3:$3,Segments!R$3)</f>
        <v>3.3256930000000002</v>
      </c>
      <c r="S10" s="46">
        <f>+SUMIFS(North!14:14,North!$3:$3,Segments!S$3)</f>
        <v>140.47992799999997</v>
      </c>
      <c r="T10" s="46">
        <f>+SUMIFS(North!14:14,North!$3:$3,Segments!T$3)</f>
        <v>99.358124000000004</v>
      </c>
      <c r="U10" s="46">
        <f>+SUMIFS(North!14:14,North!$3:$3,Segments!U$3)</f>
        <v>129.54614100000001</v>
      </c>
      <c r="V10" s="46">
        <f>+SUMIFS(North!14:14,North!$3:$3,Segments!V$3)</f>
        <v>68.197239999999994</v>
      </c>
      <c r="W10" s="46">
        <f>+SUMIFS(North!14:14,North!$3:$3,Segments!W$3)</f>
        <v>93.983000000000004</v>
      </c>
      <c r="X10" s="46">
        <f>+SUMIFS(North!14:14,North!$3:$3,Segments!X$3)</f>
        <v>71.123680000000007</v>
      </c>
      <c r="Y10" s="46">
        <f>+SUMIFS(North!14:14,North!$3:$3,Segments!Y$3)</f>
        <v>108.06033199999999</v>
      </c>
      <c r="Z10" s="46">
        <f>+SUMIFS(North!14:14,North!$3:$3,Segments!Z$3)</f>
        <v>40.622805</v>
      </c>
      <c r="AA10" s="46">
        <f>+SUMIFS(North!14:14,North!$3:$3,Segments!AA$3)</f>
        <v>59.984858000000003</v>
      </c>
      <c r="AB10" s="46">
        <f>+SUMIFS(North!14:14,North!$3:$3,Segments!AB$3)</f>
        <v>10.164298</v>
      </c>
      <c r="AC10" s="46">
        <f>+SUMIFS(North!14:14,North!$3:$3,Segments!AC$3)</f>
        <v>131.01089899999999</v>
      </c>
      <c r="AD10" s="46">
        <f ca="1">+SUMIFS(North!14:14,North!$3:$3,Segments!AD$3)</f>
        <v>44.851237854526538</v>
      </c>
      <c r="AE10" s="46">
        <f ca="1">+SUMIFS(North!14:14,North!$3:$3,Segments!AE$3)</f>
        <v>66.228689373567363</v>
      </c>
      <c r="AF10" s="46">
        <f ca="1">+SUMIFS(North!14:14,North!$3:$3,Segments!AF$3)</f>
        <v>11.222301050414623</v>
      </c>
      <c r="AG10" s="46">
        <f ca="1">+SUMIFS(North!14:14,North!$3:$3,Segments!AG$3)</f>
        <v>144.64783986690117</v>
      </c>
      <c r="AH10" s="46">
        <f ca="1">+SUMIFS(North!14:14,North!$3:$3,Segments!AH$3)</f>
        <v>49.41019566188632</v>
      </c>
      <c r="AI10" s="46">
        <f ca="1">+SUMIFS(North!14:14,North!$3:$3,Segments!AI$3)</f>
        <v>72.960583852603648</v>
      </c>
      <c r="AJ10" s="46">
        <f ca="1">+SUMIFS(North!14:14,North!$3:$3,Segments!AJ$3)</f>
        <v>12.363005285964862</v>
      </c>
      <c r="AK10" s="46">
        <f ca="1">+SUMIFS(North!14:14,North!$3:$3,Segments!AK$3)</f>
        <v>159.35074285071218</v>
      </c>
      <c r="AL10" s="46">
        <f ca="1">+SUMIFS(North!14:14,North!$3:$3,Segments!AL$3)</f>
        <v>54.322651291645506</v>
      </c>
      <c r="AM10" s="46">
        <f ca="1">+SUMIFS(North!14:14,North!$3:$3,Segments!AM$3)</f>
        <v>80.214463868580026</v>
      </c>
      <c r="AN10" s="46">
        <f ca="1">+SUMIFS(North!14:14,North!$3:$3,Segments!AN$3)</f>
        <v>13.592158785646877</v>
      </c>
      <c r="AO10" s="46">
        <f ca="1">+SUMIFS(North!14:14,North!$3:$3,Segments!AO$3)</f>
        <v>175.19369678637375</v>
      </c>
      <c r="AP10" s="46">
        <f ca="1">+SUMIFS(North!14:14,North!$3:$3,Segments!AP$3)</f>
        <v>59.613074721027211</v>
      </c>
      <c r="AQ10" s="46">
        <f ca="1">+SUMIFS(North!14:14,North!$3:$3,Segments!AQ$3)</f>
        <v>88.026462527248086</v>
      </c>
      <c r="AR10" s="46">
        <f ca="1">+SUMIFS(North!14:14,North!$3:$3,Segments!AR$3)</f>
        <v>14.915884222194588</v>
      </c>
      <c r="AS10" s="46">
        <f ca="1">+SUMIFS(North!14:14,North!$3:$3,Segments!AS$3)</f>
        <v>192.25561876773273</v>
      </c>
      <c r="AT10" s="46">
        <f ca="1">+SUMIFS(North!14:14,North!$3:$3,Segments!AT$3)</f>
        <v>65.307526702602516</v>
      </c>
      <c r="AU10" s="46">
        <f ca="1">+SUMIFS(North!14:14,North!$3:$3,Segments!AU$3)</f>
        <v>96.435061921175048</v>
      </c>
      <c r="AV10" s="46">
        <f ca="1">+SUMIFS(North!14:14,North!$3:$3,Segments!AV$3)</f>
        <v>16.340702298824745</v>
      </c>
      <c r="AW10" s="46">
        <f ca="1">+SUMIFS(North!14:14,North!$3:$3,Segments!AW$3)</f>
        <v>210.62055623127105</v>
      </c>
      <c r="AX10" s="46">
        <f ca="1">+SUMIFS(North!14:14,North!$3:$3,Segments!AX$3)</f>
        <v>71.013757356874407</v>
      </c>
      <c r="AY10" s="46">
        <f ca="1">+SUMIFS(North!14:14,North!$3:$3,Segments!AY$3)</f>
        <v>104.86105405814705</v>
      </c>
      <c r="AZ10" s="46">
        <f ca="1">+SUMIFS(North!14:14,North!$3:$3,Segments!AZ$3)</f>
        <v>17.768467536275839</v>
      </c>
      <c r="BA10" s="46">
        <f ca="1">+SUMIFS(North!14:14,North!$3:$3,Segments!BA$3)</f>
        <v>229.02348059647721</v>
      </c>
      <c r="BB10" s="8" t="s">
        <v>75</v>
      </c>
    </row>
    <row r="11" spans="1:54" x14ac:dyDescent="0.2">
      <c r="B11" s="19" t="s">
        <v>130</v>
      </c>
      <c r="C11" s="45" t="s">
        <v>201</v>
      </c>
      <c r="D11" s="2"/>
      <c r="E11" s="2"/>
      <c r="F11" s="11">
        <f t="shared" si="9"/>
        <v>266.57463000000001</v>
      </c>
      <c r="G11" s="11">
        <f t="shared" si="9"/>
        <v>468.83989000000003</v>
      </c>
      <c r="H11" s="11">
        <f t="shared" si="9"/>
        <v>944.575155</v>
      </c>
      <c r="I11" s="11">
        <f t="shared" si="9"/>
        <v>944.575155</v>
      </c>
      <c r="J11" s="11">
        <f t="shared" si="9"/>
        <v>944.575155</v>
      </c>
      <c r="K11" s="11">
        <f t="shared" si="9"/>
        <v>944.575155</v>
      </c>
      <c r="L11" s="11">
        <f t="shared" si="9"/>
        <v>944.575155</v>
      </c>
      <c r="M11" s="11">
        <f t="shared" si="9"/>
        <v>944.575155</v>
      </c>
      <c r="N11" s="11">
        <f t="shared" si="9"/>
        <v>944.575155</v>
      </c>
      <c r="P11" s="97">
        <f t="shared" si="12"/>
        <v>0</v>
      </c>
      <c r="R11" s="46">
        <f>+SUMIFS(North!15:15,North!$3:$3,Segments!R$3)</f>
        <v>9.6809600000000007</v>
      </c>
      <c r="S11" s="46">
        <f>+SUMIFS(North!15:15,North!$3:$3,Segments!S$3)</f>
        <v>192.60067000000001</v>
      </c>
      <c r="T11" s="46">
        <f>+SUMIFS(North!15:15,North!$3:$3,Segments!T$3)</f>
        <v>61.789000000000001</v>
      </c>
      <c r="U11" s="46">
        <f>+SUMIFS(North!15:15,North!$3:$3,Segments!U$3)</f>
        <v>2.504</v>
      </c>
      <c r="V11" s="46">
        <f>+SUMIFS(North!15:15,North!$3:$3,Segments!V$3)</f>
        <v>117.67</v>
      </c>
      <c r="W11" s="46">
        <f>+SUMIFS(North!15:15,North!$3:$3,Segments!W$3)</f>
        <v>178.01098000000002</v>
      </c>
      <c r="X11" s="46">
        <f>+SUMIFS(North!15:15,North!$3:$3,Segments!X$3)</f>
        <v>172.38290999999998</v>
      </c>
      <c r="Y11" s="46">
        <f>+SUMIFS(North!15:15,North!$3:$3,Segments!Y$3)</f>
        <v>0.77600000000000002</v>
      </c>
      <c r="Z11" s="46">
        <f>+SUMIFS(North!15:15,North!$3:$3,Segments!Z$3)</f>
        <v>211.03915499999999</v>
      </c>
      <c r="AA11" s="46">
        <f>+SUMIFS(North!15:15,North!$3:$3,Segments!AA$3)</f>
        <v>408.51600000000002</v>
      </c>
      <c r="AB11" s="46">
        <f>+SUMIFS(North!15:15,North!$3:$3,Segments!AB$3)</f>
        <v>270.73899999999998</v>
      </c>
      <c r="AC11" s="46">
        <f>+SUMIFS(North!15:15,North!$3:$3,Segments!AC$3)</f>
        <v>54.280999999999999</v>
      </c>
      <c r="AD11" s="46">
        <f>+SUMIFS(North!15:15,North!$3:$3,Segments!AD$3)</f>
        <v>211.03915499999999</v>
      </c>
      <c r="AE11" s="46">
        <f>+SUMIFS(North!15:15,North!$3:$3,Segments!AE$3)</f>
        <v>408.51600000000002</v>
      </c>
      <c r="AF11" s="46">
        <f>+SUMIFS(North!15:15,North!$3:$3,Segments!AF$3)</f>
        <v>270.73899999999998</v>
      </c>
      <c r="AG11" s="46">
        <f>+SUMIFS(North!15:15,North!$3:$3,Segments!AG$3)</f>
        <v>54.280999999999999</v>
      </c>
      <c r="AH11" s="46">
        <f>+SUMIFS(North!15:15,North!$3:$3,Segments!AH$3)</f>
        <v>211.03915499999999</v>
      </c>
      <c r="AI11" s="46">
        <f>+SUMIFS(North!15:15,North!$3:$3,Segments!AI$3)</f>
        <v>408.51600000000002</v>
      </c>
      <c r="AJ11" s="46">
        <f>+SUMIFS(North!15:15,North!$3:$3,Segments!AJ$3)</f>
        <v>270.73899999999998</v>
      </c>
      <c r="AK11" s="46">
        <f>+SUMIFS(North!15:15,North!$3:$3,Segments!AK$3)</f>
        <v>54.280999999999999</v>
      </c>
      <c r="AL11" s="46">
        <f>+SUMIFS(North!15:15,North!$3:$3,Segments!AL$3)</f>
        <v>211.03915499999999</v>
      </c>
      <c r="AM11" s="46">
        <f>+SUMIFS(North!15:15,North!$3:$3,Segments!AM$3)</f>
        <v>408.51600000000002</v>
      </c>
      <c r="AN11" s="46">
        <f>+SUMIFS(North!15:15,North!$3:$3,Segments!AN$3)</f>
        <v>270.73899999999998</v>
      </c>
      <c r="AO11" s="46">
        <f>+SUMIFS(North!15:15,North!$3:$3,Segments!AO$3)</f>
        <v>54.280999999999999</v>
      </c>
      <c r="AP11" s="46">
        <f>+SUMIFS(North!15:15,North!$3:$3,Segments!AP$3)</f>
        <v>211.03915499999999</v>
      </c>
      <c r="AQ11" s="46">
        <f>+SUMIFS(North!15:15,North!$3:$3,Segments!AQ$3)</f>
        <v>408.51600000000002</v>
      </c>
      <c r="AR11" s="46">
        <f>+SUMIFS(North!15:15,North!$3:$3,Segments!AR$3)</f>
        <v>270.73899999999998</v>
      </c>
      <c r="AS11" s="46">
        <f>+SUMIFS(North!15:15,North!$3:$3,Segments!AS$3)</f>
        <v>54.280999999999999</v>
      </c>
      <c r="AT11" s="46">
        <f>+SUMIFS(North!15:15,North!$3:$3,Segments!AT$3)</f>
        <v>211.03915499999999</v>
      </c>
      <c r="AU11" s="46">
        <f>+SUMIFS(North!15:15,North!$3:$3,Segments!AU$3)</f>
        <v>408.51600000000002</v>
      </c>
      <c r="AV11" s="46">
        <f>+SUMIFS(North!15:15,North!$3:$3,Segments!AV$3)</f>
        <v>270.73899999999998</v>
      </c>
      <c r="AW11" s="46">
        <f>+SUMIFS(North!15:15,North!$3:$3,Segments!AW$3)</f>
        <v>54.280999999999999</v>
      </c>
      <c r="AX11" s="46">
        <f>+SUMIFS(North!15:15,North!$3:$3,Segments!AX$3)</f>
        <v>211.03915499999999</v>
      </c>
      <c r="AY11" s="46">
        <f>+SUMIFS(North!15:15,North!$3:$3,Segments!AY$3)</f>
        <v>408.51600000000002</v>
      </c>
      <c r="AZ11" s="46">
        <f>+SUMIFS(North!15:15,North!$3:$3,Segments!AZ$3)</f>
        <v>270.73899999999998</v>
      </c>
      <c r="BA11" s="46">
        <f>+SUMIFS(North!15:15,North!$3:$3,Segments!BA$3)</f>
        <v>54.280999999999999</v>
      </c>
      <c r="BB11" s="8" t="s">
        <v>75</v>
      </c>
    </row>
    <row r="12" spans="1:54" s="2" customFormat="1" x14ac:dyDescent="0.2">
      <c r="B12" s="2" t="s">
        <v>7</v>
      </c>
      <c r="C12" s="45" t="s">
        <v>201</v>
      </c>
      <c r="F12" s="13">
        <f t="shared" si="9"/>
        <v>2078.1085640000001</v>
      </c>
      <c r="G12" s="13">
        <f t="shared" si="9"/>
        <v>2180.0912234000002</v>
      </c>
      <c r="H12" s="13">
        <f t="shared" si="9"/>
        <v>1889.3910130816328</v>
      </c>
      <c r="I12" s="13">
        <f t="shared" ca="1" si="9"/>
        <v>2040.0008637357143</v>
      </c>
      <c r="J12" s="13">
        <f t="shared" ca="1" si="9"/>
        <v>2116.1763689225004</v>
      </c>
      <c r="K12" s="13">
        <f t="shared" ca="1" si="9"/>
        <v>2159.2997343780621</v>
      </c>
      <c r="L12" s="13">
        <f t="shared" ca="1" si="9"/>
        <v>2203.4033735323392</v>
      </c>
      <c r="M12" s="13">
        <f t="shared" ca="1" si="9"/>
        <v>2248.5108151234208</v>
      </c>
      <c r="N12" s="13">
        <f t="shared" ca="1" si="9"/>
        <v>2294.6461663268069</v>
      </c>
      <c r="P12" s="131">
        <f t="shared" ca="1" si="12"/>
        <v>2.3804596723069782E-2</v>
      </c>
      <c r="R12" s="13">
        <f t="shared" ref="R12:AC12" si="13">+R13+R14+R15+R16</f>
        <v>434.09314000000001</v>
      </c>
      <c r="S12" s="13">
        <f t="shared" si="13"/>
        <v>639.53495599999997</v>
      </c>
      <c r="T12" s="13">
        <f t="shared" si="13"/>
        <v>569.10578300000009</v>
      </c>
      <c r="U12" s="13">
        <f t="shared" si="13"/>
        <v>435.374685</v>
      </c>
      <c r="V12" s="13">
        <f t="shared" si="13"/>
        <v>594.40094700000009</v>
      </c>
      <c r="W12" s="13">
        <f t="shared" si="13"/>
        <v>658.61110099999996</v>
      </c>
      <c r="X12" s="13">
        <f t="shared" si="13"/>
        <v>675.32784700000002</v>
      </c>
      <c r="Y12" s="13">
        <f t="shared" si="13"/>
        <v>251.75132839999998</v>
      </c>
      <c r="Z12" s="13">
        <f t="shared" si="13"/>
        <v>456.21798708163266</v>
      </c>
      <c r="AA12" s="13">
        <f t="shared" si="13"/>
        <v>637.77903800000001</v>
      </c>
      <c r="AB12" s="13">
        <f t="shared" si="13"/>
        <v>564.76443899999992</v>
      </c>
      <c r="AC12" s="13">
        <f t="shared" si="13"/>
        <v>230.62954899999997</v>
      </c>
      <c r="AD12" s="13">
        <f t="shared" ref="AD12:BA12" ca="1" si="14">+AD13+AD14+AD15+AD16</f>
        <v>491.36938643571432</v>
      </c>
      <c r="AE12" s="13">
        <f t="shared" ca="1" si="14"/>
        <v>691.75808990000007</v>
      </c>
      <c r="AF12" s="13">
        <f t="shared" ca="1" si="14"/>
        <v>612.92816094999989</v>
      </c>
      <c r="AG12" s="13">
        <f t="shared" ca="1" si="14"/>
        <v>243.94522645000001</v>
      </c>
      <c r="AH12" s="13">
        <f t="shared" ca="1" si="14"/>
        <v>510.26122575749997</v>
      </c>
      <c r="AI12" s="13">
        <f t="shared" ca="1" si="14"/>
        <v>716.18454839500021</v>
      </c>
      <c r="AJ12" s="13">
        <f t="shared" ca="1" si="14"/>
        <v>634.40883899750008</v>
      </c>
      <c r="AK12" s="13">
        <f t="shared" ca="1" si="14"/>
        <v>255.32175577250004</v>
      </c>
      <c r="AL12" s="13">
        <f t="shared" ca="1" si="14"/>
        <v>520.86773278893747</v>
      </c>
      <c r="AM12" s="13">
        <f t="shared" ca="1" si="14"/>
        <v>730.24051443237511</v>
      </c>
      <c r="AN12" s="13">
        <f t="shared" ca="1" si="14"/>
        <v>646.79753973493735</v>
      </c>
      <c r="AO12" s="13">
        <f t="shared" ca="1" si="14"/>
        <v>261.39394742181247</v>
      </c>
      <c r="AP12" s="13">
        <f t="shared" ca="1" si="14"/>
        <v>531.71790226003577</v>
      </c>
      <c r="AQ12" s="13">
        <f t="shared" ca="1" si="14"/>
        <v>744.60939314395932</v>
      </c>
      <c r="AR12" s="13">
        <f t="shared" ca="1" si="14"/>
        <v>659.46124278843592</v>
      </c>
      <c r="AS12" s="13">
        <f t="shared" ca="1" si="14"/>
        <v>267.61483533990781</v>
      </c>
      <c r="AT12" s="13">
        <f t="shared" ca="1" si="14"/>
        <v>542.8176107294255</v>
      </c>
      <c r="AU12" s="13">
        <f t="shared" ca="1" si="14"/>
        <v>759.29862248184111</v>
      </c>
      <c r="AV12" s="13">
        <f t="shared" ca="1" si="14"/>
        <v>672.40647606387313</v>
      </c>
      <c r="AW12" s="13">
        <f t="shared" ca="1" si="14"/>
        <v>273.98810584828095</v>
      </c>
      <c r="AX12" s="13">
        <f t="shared" ca="1" si="14"/>
        <v>554.17287951967865</v>
      </c>
      <c r="AY12" s="13">
        <f t="shared" ca="1" si="14"/>
        <v>774.31582249826261</v>
      </c>
      <c r="AZ12" s="13">
        <f t="shared" ca="1" si="14"/>
        <v>685.63992719325336</v>
      </c>
      <c r="BA12" s="13">
        <f t="shared" ca="1" si="14"/>
        <v>280.51753711561224</v>
      </c>
      <c r="BB12" s="83" t="s">
        <v>75</v>
      </c>
    </row>
    <row r="13" spans="1:54" x14ac:dyDescent="0.2">
      <c r="B13" s="19" t="s">
        <v>13</v>
      </c>
      <c r="C13" s="45" t="s">
        <v>201</v>
      </c>
      <c r="D13" s="2"/>
      <c r="E13" s="2"/>
      <c r="F13" s="11">
        <f t="shared" si="9"/>
        <v>674.13200000000006</v>
      </c>
      <c r="G13" s="11">
        <f t="shared" si="9"/>
        <v>424.44200000000001</v>
      </c>
      <c r="H13" s="11">
        <f t="shared" si="9"/>
        <v>561.40300000000002</v>
      </c>
      <c r="I13" s="11">
        <f t="shared" ca="1" si="9"/>
        <v>645.61344999999994</v>
      </c>
      <c r="J13" s="11">
        <f t="shared" ca="1" si="9"/>
        <v>652.06958450000002</v>
      </c>
      <c r="K13" s="11">
        <f t="shared" ca="1" si="9"/>
        <v>658.590280345</v>
      </c>
      <c r="L13" s="11">
        <f t="shared" ca="1" si="9"/>
        <v>665.17618314844992</v>
      </c>
      <c r="M13" s="11">
        <f t="shared" ca="1" si="9"/>
        <v>671.8279449799345</v>
      </c>
      <c r="N13" s="11">
        <f t="shared" ca="1" si="9"/>
        <v>678.5462244297338</v>
      </c>
      <c r="P13" s="97">
        <f t="shared" ca="1" si="12"/>
        <v>1.0000000000000009E-2</v>
      </c>
      <c r="R13" s="46">
        <f>+SUMIFS(South!17:17,South!$3:$3,Segments!R$3)</f>
        <v>169.81399999999999</v>
      </c>
      <c r="S13" s="46">
        <f>+SUMIFS(South!17:17,South!$3:$3,Segments!S$3)</f>
        <v>143.31399999999999</v>
      </c>
      <c r="T13" s="46">
        <f>+SUMIFS(South!17:17,South!$3:$3,Segments!T$3)</f>
        <v>157.85300000000001</v>
      </c>
      <c r="U13" s="46">
        <f>+SUMIFS(South!17:17,South!$3:$3,Segments!U$3)</f>
        <v>203.15100000000001</v>
      </c>
      <c r="V13" s="46">
        <f>+SUMIFS(South!17:17,South!$3:$3,Segments!V$3)</f>
        <v>118.34</v>
      </c>
      <c r="W13" s="46">
        <f>+SUMIFS(South!17:17,South!$3:$3,Segments!W$3)</f>
        <v>166.41399999999999</v>
      </c>
      <c r="X13" s="46">
        <f>+SUMIFS(South!17:17,South!$3:$3,Segments!X$3)</f>
        <v>139.68799999999999</v>
      </c>
      <c r="Y13" s="46">
        <f>+SUMIFS(South!17:17,South!$3:$3,Segments!Y$3)</f>
        <v>0</v>
      </c>
      <c r="Z13" s="46">
        <f>+SUMIFS(South!17:17,South!$3:$3,Segments!Z$3)</f>
        <v>123.405</v>
      </c>
      <c r="AA13" s="46">
        <f>+SUMIFS(South!17:17,South!$3:$3,Segments!AA$3)</f>
        <v>220.90100000000001</v>
      </c>
      <c r="AB13" s="46">
        <f>+SUMIFS(South!17:17,South!$3:$3,Segments!AB$3)</f>
        <v>199.255</v>
      </c>
      <c r="AC13" s="46">
        <f>+SUMIFS(South!17:17,South!$3:$3,Segments!AC$3)</f>
        <v>17.841999999999999</v>
      </c>
      <c r="AD13" s="46">
        <f ca="1">+SUMIFS(South!17:17,South!$3:$3,Segments!AD$3)</f>
        <v>141.91575</v>
      </c>
      <c r="AE13" s="46">
        <f ca="1">+SUMIFS(South!17:17,South!$3:$3,Segments!AE$3)</f>
        <v>254.03614999999999</v>
      </c>
      <c r="AF13" s="46">
        <f ca="1">+SUMIFS(South!17:17,South!$3:$3,Segments!AF$3)</f>
        <v>229.14324999999997</v>
      </c>
      <c r="AG13" s="46">
        <f ca="1">+SUMIFS(South!17:17,South!$3:$3,Segments!AG$3)</f>
        <v>20.518299999999996</v>
      </c>
      <c r="AH13" s="46">
        <f ca="1">+SUMIFS(South!17:17,South!$3:$3,Segments!AH$3)</f>
        <v>143.33490750000001</v>
      </c>
      <c r="AI13" s="46">
        <f ca="1">+SUMIFS(South!17:17,South!$3:$3,Segments!AI$3)</f>
        <v>256.57651149999998</v>
      </c>
      <c r="AJ13" s="46">
        <f ca="1">+SUMIFS(South!17:17,South!$3:$3,Segments!AJ$3)</f>
        <v>231.43468249999998</v>
      </c>
      <c r="AK13" s="46">
        <f ca="1">+SUMIFS(South!17:17,South!$3:$3,Segments!AK$3)</f>
        <v>20.723482999999998</v>
      </c>
      <c r="AL13" s="46">
        <f ca="1">+SUMIFS(South!17:17,South!$3:$3,Segments!AL$3)</f>
        <v>144.76825657500001</v>
      </c>
      <c r="AM13" s="46">
        <f ca="1">+SUMIFS(South!17:17,South!$3:$3,Segments!AM$3)</f>
        <v>259.14227661499996</v>
      </c>
      <c r="AN13" s="46">
        <f ca="1">+SUMIFS(South!17:17,South!$3:$3,Segments!AN$3)</f>
        <v>233.74902932499998</v>
      </c>
      <c r="AO13" s="46">
        <f ca="1">+SUMIFS(South!17:17,South!$3:$3,Segments!AO$3)</f>
        <v>20.930717829999999</v>
      </c>
      <c r="AP13" s="46">
        <f ca="1">+SUMIFS(South!17:17,South!$3:$3,Segments!AP$3)</f>
        <v>146.21593914075001</v>
      </c>
      <c r="AQ13" s="46">
        <f ca="1">+SUMIFS(South!17:17,South!$3:$3,Segments!AQ$3)</f>
        <v>261.73369938114996</v>
      </c>
      <c r="AR13" s="46">
        <f ca="1">+SUMIFS(South!17:17,South!$3:$3,Segments!AR$3)</f>
        <v>236.08651961824998</v>
      </c>
      <c r="AS13" s="46">
        <f ca="1">+SUMIFS(South!17:17,South!$3:$3,Segments!AS$3)</f>
        <v>21.1400250083</v>
      </c>
      <c r="AT13" s="46">
        <f ca="1">+SUMIFS(South!17:17,South!$3:$3,Segments!AT$3)</f>
        <v>147.67809853215752</v>
      </c>
      <c r="AU13" s="46">
        <f ca="1">+SUMIFS(South!17:17,South!$3:$3,Segments!AU$3)</f>
        <v>264.35103637496144</v>
      </c>
      <c r="AV13" s="46">
        <f ca="1">+SUMIFS(South!17:17,South!$3:$3,Segments!AV$3)</f>
        <v>238.4473848144325</v>
      </c>
      <c r="AW13" s="46">
        <f ca="1">+SUMIFS(South!17:17,South!$3:$3,Segments!AW$3)</f>
        <v>21.351425258382999</v>
      </c>
      <c r="AX13" s="46">
        <f ca="1">+SUMIFS(South!17:17,South!$3:$3,Segments!AX$3)</f>
        <v>149.15487951747909</v>
      </c>
      <c r="AY13" s="46">
        <f ca="1">+SUMIFS(South!17:17,South!$3:$3,Segments!AY$3)</f>
        <v>266.99454673871105</v>
      </c>
      <c r="AZ13" s="46">
        <f ca="1">+SUMIFS(South!17:17,South!$3:$3,Segments!AZ$3)</f>
        <v>240.83185866257682</v>
      </c>
      <c r="BA13" s="46">
        <f ca="1">+SUMIFS(South!17:17,South!$3:$3,Segments!BA$3)</f>
        <v>21.56493951096683</v>
      </c>
      <c r="BB13" s="8" t="s">
        <v>75</v>
      </c>
    </row>
    <row r="14" spans="1:54" x14ac:dyDescent="0.2">
      <c r="B14" s="19" t="s">
        <v>11</v>
      </c>
      <c r="C14" s="45" t="s">
        <v>201</v>
      </c>
      <c r="D14" s="2"/>
      <c r="E14" s="2"/>
      <c r="F14" s="11">
        <f t="shared" si="9"/>
        <v>872.35763199999997</v>
      </c>
      <c r="G14" s="11">
        <f t="shared" si="9"/>
        <v>948.65655140000001</v>
      </c>
      <c r="H14" s="11">
        <f t="shared" si="9"/>
        <v>1058.0132630000001</v>
      </c>
      <c r="I14" s="11">
        <f t="shared" ca="1" si="9"/>
        <v>1110.9139261500002</v>
      </c>
      <c r="J14" s="11">
        <f t="shared" ca="1" si="9"/>
        <v>1166.4596224575002</v>
      </c>
      <c r="K14" s="11">
        <f t="shared" ca="1" si="9"/>
        <v>1195.6211130189374</v>
      </c>
      <c r="L14" s="11">
        <f t="shared" ca="1" si="9"/>
        <v>1225.5116408444107</v>
      </c>
      <c r="M14" s="11">
        <f t="shared" ca="1" si="9"/>
        <v>1256.1494318655209</v>
      </c>
      <c r="N14" s="11">
        <f t="shared" ca="1" si="9"/>
        <v>1287.5531676621588</v>
      </c>
      <c r="P14" s="97">
        <f t="shared" ca="1" si="12"/>
        <v>2.9951921406725424E-2</v>
      </c>
      <c r="R14" s="46">
        <f>+SUMIFS(South!18:18,South!$3:$3,Segments!R$3)</f>
        <v>252.26501099999999</v>
      </c>
      <c r="S14" s="46">
        <f>+SUMIFS(South!18:18,South!$3:$3,Segments!S$3)</f>
        <v>398.35769799999997</v>
      </c>
      <c r="T14" s="46">
        <f>+SUMIFS(South!18:18,South!$3:$3,Segments!T$3)</f>
        <v>221.73492300000001</v>
      </c>
      <c r="U14" s="46">
        <f>+SUMIFS(South!18:18,South!$3:$3,Segments!U$3)</f>
        <v>0</v>
      </c>
      <c r="V14" s="46">
        <f>+SUMIFS(South!18:18,South!$3:$3,Segments!V$3)</f>
        <v>314.54494900000003</v>
      </c>
      <c r="W14" s="46">
        <f>+SUMIFS(South!18:18,South!$3:$3,Segments!W$3)</f>
        <v>300.069321</v>
      </c>
      <c r="X14" s="46">
        <f>+SUMIFS(South!18:18,South!$3:$3,Segments!X$3)</f>
        <v>225.00018699999998</v>
      </c>
      <c r="Y14" s="46">
        <f>+SUMIFS(South!18:18,South!$3:$3,Segments!Y$3)</f>
        <v>109.04209439999998</v>
      </c>
      <c r="Z14" s="46">
        <f>+SUMIFS(South!18:18,South!$3:$3,Segments!Z$3)</f>
        <v>250.68895499999999</v>
      </c>
      <c r="AA14" s="46">
        <f>+SUMIFS(South!18:18,South!$3:$3,Segments!AA$3)</f>
        <v>376.60776900000002</v>
      </c>
      <c r="AB14" s="46">
        <f>+SUMIFS(South!18:18,South!$3:$3,Segments!AB$3)</f>
        <v>316.67472900000001</v>
      </c>
      <c r="AC14" s="46">
        <f>+SUMIFS(South!18:18,South!$3:$3,Segments!AC$3)</f>
        <v>114.04181</v>
      </c>
      <c r="AD14" s="46">
        <f ca="1">+SUMIFS(South!18:18,South!$3:$3,Segments!AD$3)</f>
        <v>263.22340274999999</v>
      </c>
      <c r="AE14" s="46">
        <f ca="1">+SUMIFS(South!18:18,South!$3:$3,Segments!AE$3)</f>
        <v>395.43815745000006</v>
      </c>
      <c r="AF14" s="46">
        <f ca="1">+SUMIFS(South!18:18,South!$3:$3,Segments!AF$3)</f>
        <v>332.50846545000002</v>
      </c>
      <c r="AG14" s="46">
        <f ca="1">+SUMIFS(South!18:18,South!$3:$3,Segments!AG$3)</f>
        <v>119.74390050000001</v>
      </c>
      <c r="AH14" s="46">
        <f ca="1">+SUMIFS(South!18:18,South!$3:$3,Segments!AH$3)</f>
        <v>276.38457288749998</v>
      </c>
      <c r="AI14" s="46">
        <f ca="1">+SUMIFS(South!18:18,South!$3:$3,Segments!AI$3)</f>
        <v>415.2100653225001</v>
      </c>
      <c r="AJ14" s="46">
        <f ca="1">+SUMIFS(South!18:18,South!$3:$3,Segments!AJ$3)</f>
        <v>349.13388872250005</v>
      </c>
      <c r="AK14" s="46">
        <f ca="1">+SUMIFS(South!18:18,South!$3:$3,Segments!AK$3)</f>
        <v>125.73109552500001</v>
      </c>
      <c r="AL14" s="46">
        <f ca="1">+SUMIFS(South!18:18,South!$3:$3,Segments!AL$3)</f>
        <v>283.29418720968744</v>
      </c>
      <c r="AM14" s="46">
        <f ca="1">+SUMIFS(South!18:18,South!$3:$3,Segments!AM$3)</f>
        <v>425.59031695556257</v>
      </c>
      <c r="AN14" s="46">
        <f ca="1">+SUMIFS(South!18:18,South!$3:$3,Segments!AN$3)</f>
        <v>357.86223594056253</v>
      </c>
      <c r="AO14" s="46">
        <f ca="1">+SUMIFS(South!18:18,South!$3:$3,Segments!AO$3)</f>
        <v>128.874372913125</v>
      </c>
      <c r="AP14" s="46">
        <f ca="1">+SUMIFS(South!18:18,South!$3:$3,Segments!AP$3)</f>
        <v>290.37654188992957</v>
      </c>
      <c r="AQ14" s="46">
        <f ca="1">+SUMIFS(South!18:18,South!$3:$3,Segments!AQ$3)</f>
        <v>436.23007487945159</v>
      </c>
      <c r="AR14" s="46">
        <f ca="1">+SUMIFS(South!18:18,South!$3:$3,Segments!AR$3)</f>
        <v>366.80879183907655</v>
      </c>
      <c r="AS14" s="46">
        <f ca="1">+SUMIFS(South!18:18,South!$3:$3,Segments!AS$3)</f>
        <v>132.09623223595312</v>
      </c>
      <c r="AT14" s="46">
        <f ca="1">+SUMIFS(South!18:18,South!$3:$3,Segments!AT$3)</f>
        <v>297.63595543717776</v>
      </c>
      <c r="AU14" s="46">
        <f ca="1">+SUMIFS(South!18:18,South!$3:$3,Segments!AU$3)</f>
        <v>447.13582675143783</v>
      </c>
      <c r="AV14" s="46">
        <f ca="1">+SUMIFS(South!18:18,South!$3:$3,Segments!AV$3)</f>
        <v>375.97901163505344</v>
      </c>
      <c r="AW14" s="46">
        <f ca="1">+SUMIFS(South!18:18,South!$3:$3,Segments!AW$3)</f>
        <v>135.39863804185194</v>
      </c>
      <c r="AX14" s="46">
        <f ca="1">+SUMIFS(South!18:18,South!$3:$3,Segments!AX$3)</f>
        <v>305.07685432310717</v>
      </c>
      <c r="AY14" s="46">
        <f ca="1">+SUMIFS(South!18:18,South!$3:$3,Segments!AY$3)</f>
        <v>458.31422242022376</v>
      </c>
      <c r="AZ14" s="46">
        <f ca="1">+SUMIFS(South!18:18,South!$3:$3,Segments!AZ$3)</f>
        <v>385.37848692592974</v>
      </c>
      <c r="BA14" s="46">
        <f ca="1">+SUMIFS(South!18:18,South!$3:$3,Segments!BA$3)</f>
        <v>138.78360399289824</v>
      </c>
      <c r="BB14" s="8" t="s">
        <v>75</v>
      </c>
    </row>
    <row r="15" spans="1:54" x14ac:dyDescent="0.2">
      <c r="B15" s="19" t="s">
        <v>12</v>
      </c>
      <c r="C15" s="45" t="s">
        <v>201</v>
      </c>
      <c r="D15" s="2"/>
      <c r="E15" s="2"/>
      <c r="F15" s="11">
        <f t="shared" si="9"/>
        <v>237.95156</v>
      </c>
      <c r="G15" s="11">
        <f t="shared" si="9"/>
        <v>183.56224700000001</v>
      </c>
      <c r="H15" s="11">
        <f t="shared" si="9"/>
        <v>144.398619</v>
      </c>
      <c r="I15" s="11">
        <f t="shared" ca="1" si="9"/>
        <v>151.61854994999999</v>
      </c>
      <c r="J15" s="11">
        <f t="shared" ca="1" si="9"/>
        <v>159.19947744749999</v>
      </c>
      <c r="K15" s="11">
        <f t="shared" ca="1" si="9"/>
        <v>163.1794643836875</v>
      </c>
      <c r="L15" s="11">
        <f t="shared" ca="1" si="9"/>
        <v>167.25895099327965</v>
      </c>
      <c r="M15" s="11">
        <f t="shared" ca="1" si="9"/>
        <v>171.44042476811163</v>
      </c>
      <c r="N15" s="11">
        <f t="shared" ca="1" si="9"/>
        <v>175.72643538731438</v>
      </c>
      <c r="P15" s="97">
        <f t="shared" ca="1" si="12"/>
        <v>2.9951921406725424E-2</v>
      </c>
      <c r="R15" s="46">
        <f>+SUMIFS(South!19:19,South!$3:$3,Segments!R$3)</f>
        <v>0</v>
      </c>
      <c r="S15" s="46">
        <f>+SUMIFS(South!19:19,South!$3:$3,Segments!S$3)</f>
        <v>43.291029999999999</v>
      </c>
      <c r="T15" s="46">
        <f>+SUMIFS(South!19:19,South!$3:$3,Segments!T$3)</f>
        <v>96.144845000000004</v>
      </c>
      <c r="U15" s="46">
        <f>+SUMIFS(South!19:19,South!$3:$3,Segments!U$3)</f>
        <v>98.515684999999991</v>
      </c>
      <c r="V15" s="46">
        <f>+SUMIFS(South!19:19,South!$3:$3,Segments!V$3)</f>
        <v>0</v>
      </c>
      <c r="W15" s="46">
        <f>+SUMIFS(South!19:19,South!$3:$3,Segments!W$3)</f>
        <v>68.027456999999998</v>
      </c>
      <c r="X15" s="46">
        <f>+SUMIFS(South!19:19,South!$3:$3,Segments!X$3)</f>
        <v>71.693653999999995</v>
      </c>
      <c r="Y15" s="46">
        <f>+SUMIFS(South!19:19,South!$3:$3,Segments!Y$3)</f>
        <v>43.841135999999999</v>
      </c>
      <c r="Z15" s="46">
        <f>+SUMIFS(South!19:19,South!$3:$3,Segments!Z$3)</f>
        <v>20.161356000000001</v>
      </c>
      <c r="AA15" s="46">
        <f>+SUMIFS(South!19:19,South!$3:$3,Segments!AA$3)</f>
        <v>37.783009</v>
      </c>
      <c r="AB15" s="46">
        <f>+SUMIFS(South!19:19,South!$3:$3,Segments!AB$3)</f>
        <v>42.608039999999995</v>
      </c>
      <c r="AC15" s="46">
        <f>+SUMIFS(South!19:19,South!$3:$3,Segments!AC$3)</f>
        <v>43.846213999999989</v>
      </c>
      <c r="AD15" s="46">
        <f ca="1">+SUMIFS(South!19:19,South!$3:$3,Segments!AD$3)</f>
        <v>21.169423800000004</v>
      </c>
      <c r="AE15" s="46">
        <f ca="1">+SUMIFS(South!19:19,South!$3:$3,Segments!AE$3)</f>
        <v>39.672159450000002</v>
      </c>
      <c r="AF15" s="46">
        <f ca="1">+SUMIFS(South!19:19,South!$3:$3,Segments!AF$3)</f>
        <v>44.738441999999999</v>
      </c>
      <c r="AG15" s="46">
        <f ca="1">+SUMIFS(South!19:19,South!$3:$3,Segments!AG$3)</f>
        <v>46.038524699999989</v>
      </c>
      <c r="AH15" s="46">
        <f ca="1">+SUMIFS(South!19:19,South!$3:$3,Segments!AH$3)</f>
        <v>22.227894990000006</v>
      </c>
      <c r="AI15" s="46">
        <f ca="1">+SUMIFS(South!19:19,South!$3:$3,Segments!AI$3)</f>
        <v>41.655767422500006</v>
      </c>
      <c r="AJ15" s="46">
        <f ca="1">+SUMIFS(South!19:19,South!$3:$3,Segments!AJ$3)</f>
        <v>46.9753641</v>
      </c>
      <c r="AK15" s="46">
        <f ca="1">+SUMIFS(South!19:19,South!$3:$3,Segments!AK$3)</f>
        <v>48.340450934999993</v>
      </c>
      <c r="AL15" s="46">
        <f ca="1">+SUMIFS(South!19:19,South!$3:$3,Segments!AL$3)</f>
        <v>22.783592364750003</v>
      </c>
      <c r="AM15" s="46">
        <f ca="1">+SUMIFS(South!19:19,South!$3:$3,Segments!AM$3)</f>
        <v>42.697161608062501</v>
      </c>
      <c r="AN15" s="46">
        <f ca="1">+SUMIFS(South!19:19,South!$3:$3,Segments!AN$3)</f>
        <v>48.149748202499993</v>
      </c>
      <c r="AO15" s="46">
        <f ca="1">+SUMIFS(South!19:19,South!$3:$3,Segments!AO$3)</f>
        <v>49.548962208374988</v>
      </c>
      <c r="AP15" s="46">
        <f ca="1">+SUMIFS(South!19:19,South!$3:$3,Segments!AP$3)</f>
        <v>23.353182173868753</v>
      </c>
      <c r="AQ15" s="46">
        <f ca="1">+SUMIFS(South!19:19,South!$3:$3,Segments!AQ$3)</f>
        <v>43.764590648264061</v>
      </c>
      <c r="AR15" s="46">
        <f ca="1">+SUMIFS(South!19:19,South!$3:$3,Segments!AR$3)</f>
        <v>49.353491907562486</v>
      </c>
      <c r="AS15" s="46">
        <f ca="1">+SUMIFS(South!19:19,South!$3:$3,Segments!AS$3)</f>
        <v>50.787686263584355</v>
      </c>
      <c r="AT15" s="46">
        <f ca="1">+SUMIFS(South!19:19,South!$3:$3,Segments!AT$3)</f>
        <v>23.93701172821547</v>
      </c>
      <c r="AU15" s="46">
        <f ca="1">+SUMIFS(South!19:19,South!$3:$3,Segments!AU$3)</f>
        <v>44.858705414470656</v>
      </c>
      <c r="AV15" s="46">
        <f ca="1">+SUMIFS(South!19:19,South!$3:$3,Segments!AV$3)</f>
        <v>50.587329205251542</v>
      </c>
      <c r="AW15" s="46">
        <f ca="1">+SUMIFS(South!19:19,South!$3:$3,Segments!AW$3)</f>
        <v>52.057378420173961</v>
      </c>
      <c r="AX15" s="46">
        <f ca="1">+SUMIFS(South!19:19,South!$3:$3,Segments!AX$3)</f>
        <v>24.535437021420854</v>
      </c>
      <c r="AY15" s="46">
        <f ca="1">+SUMIFS(South!19:19,South!$3:$3,Segments!AY$3)</f>
        <v>45.980173049832416</v>
      </c>
      <c r="AZ15" s="46">
        <f ca="1">+SUMIFS(South!19:19,South!$3:$3,Segments!AZ$3)</f>
        <v>51.852012435382825</v>
      </c>
      <c r="BA15" s="46">
        <f ca="1">+SUMIFS(South!19:19,South!$3:$3,Segments!BA$3)</f>
        <v>53.358812880678308</v>
      </c>
      <c r="BB15" s="8" t="s">
        <v>75</v>
      </c>
    </row>
    <row r="16" spans="1:54" x14ac:dyDescent="0.2">
      <c r="B16" s="19" t="s">
        <v>14</v>
      </c>
      <c r="C16" s="45" t="s">
        <v>201</v>
      </c>
      <c r="D16" s="2"/>
      <c r="E16" s="2"/>
      <c r="F16" s="11">
        <f t="shared" si="9"/>
        <v>293.667372</v>
      </c>
      <c r="G16" s="11">
        <f t="shared" si="9"/>
        <v>623.43042500000013</v>
      </c>
      <c r="H16" s="11">
        <f t="shared" si="9"/>
        <v>125.57613108163267</v>
      </c>
      <c r="I16" s="11">
        <f t="shared" ca="1" si="9"/>
        <v>131.85493763571429</v>
      </c>
      <c r="J16" s="11">
        <f t="shared" ca="1" si="9"/>
        <v>138.44768451750005</v>
      </c>
      <c r="K16" s="11">
        <f t="shared" ca="1" si="9"/>
        <v>141.90887663043753</v>
      </c>
      <c r="L16" s="11">
        <f t="shared" ca="1" si="9"/>
        <v>145.45659854619845</v>
      </c>
      <c r="M16" s="11">
        <f t="shared" ca="1" si="9"/>
        <v>149.09301350985339</v>
      </c>
      <c r="N16" s="11">
        <f t="shared" ca="1" si="9"/>
        <v>152.82033884759971</v>
      </c>
      <c r="P16" s="97">
        <f t="shared" ca="1" si="12"/>
        <v>2.9951921406725424E-2</v>
      </c>
      <c r="R16" s="46">
        <f>+SUMIFS(South!20:20,South!$3:$3,Segments!R$3)</f>
        <v>12.014129000000001</v>
      </c>
      <c r="S16" s="46">
        <f>+SUMIFS(South!20:20,South!$3:$3,Segments!S$3)</f>
        <v>54.572227999999996</v>
      </c>
      <c r="T16" s="46">
        <f>+SUMIFS(South!20:20,South!$3:$3,Segments!T$3)</f>
        <v>93.373014999999981</v>
      </c>
      <c r="U16" s="46">
        <f>+SUMIFS(South!20:20,South!$3:$3,Segments!U$3)</f>
        <v>133.708</v>
      </c>
      <c r="V16" s="46">
        <f>+SUMIFS(South!20:20,South!$3:$3,Segments!V$3)</f>
        <v>161.51599800000002</v>
      </c>
      <c r="W16" s="46">
        <f>+SUMIFS(South!20:20,South!$3:$3,Segments!W$3)</f>
        <v>124.100323</v>
      </c>
      <c r="X16" s="46">
        <f>+SUMIFS(South!20:20,South!$3:$3,Segments!X$3)</f>
        <v>238.94600600000001</v>
      </c>
      <c r="Y16" s="46">
        <f>+SUMIFS(South!20:20,South!$3:$3,Segments!Y$3)</f>
        <v>98.868098000000003</v>
      </c>
      <c r="Z16" s="46">
        <f>+SUMIFS(South!20:20,South!$3:$3,Segments!Z$3)</f>
        <v>61.962676081632672</v>
      </c>
      <c r="AA16" s="46">
        <f>+SUMIFS(South!20:20,South!$3:$3,Segments!AA$3)</f>
        <v>2.48726</v>
      </c>
      <c r="AB16" s="46">
        <f>+SUMIFS(South!20:20,South!$3:$3,Segments!AB$3)</f>
        <v>6.2266700000000004</v>
      </c>
      <c r="AC16" s="46">
        <f>+SUMIFS(South!20:20,South!$3:$3,Segments!AC$3)</f>
        <v>54.899525000000004</v>
      </c>
      <c r="AD16" s="46">
        <f ca="1">+SUMIFS(South!20:20,South!$3:$3,Segments!AD$3)</f>
        <v>65.060809885714306</v>
      </c>
      <c r="AE16" s="46">
        <f ca="1">+SUMIFS(South!20:20,South!$3:$3,Segments!AE$3)</f>
        <v>2.6116230000000002</v>
      </c>
      <c r="AF16" s="46">
        <f ca="1">+SUMIFS(South!20:20,South!$3:$3,Segments!AF$3)</f>
        <v>6.5380035000000003</v>
      </c>
      <c r="AG16" s="46">
        <f ca="1">+SUMIFS(South!20:20,South!$3:$3,Segments!AG$3)</f>
        <v>57.644501250000005</v>
      </c>
      <c r="AH16" s="46">
        <f ca="1">+SUMIFS(South!20:20,South!$3:$3,Segments!AH$3)</f>
        <v>68.313850380000019</v>
      </c>
      <c r="AI16" s="46">
        <f ca="1">+SUMIFS(South!20:20,South!$3:$3,Segments!AI$3)</f>
        <v>2.7422041500000005</v>
      </c>
      <c r="AJ16" s="46">
        <f ca="1">+SUMIFS(South!20:20,South!$3:$3,Segments!AJ$3)</f>
        <v>6.8649036750000008</v>
      </c>
      <c r="AK16" s="46">
        <f ca="1">+SUMIFS(South!20:20,South!$3:$3,Segments!AK$3)</f>
        <v>60.52672631250001</v>
      </c>
      <c r="AL16" s="46">
        <f ca="1">+SUMIFS(South!20:20,South!$3:$3,Segments!AL$3)</f>
        <v>70.021696639500007</v>
      </c>
      <c r="AM16" s="46">
        <f ca="1">+SUMIFS(South!20:20,South!$3:$3,Segments!AM$3)</f>
        <v>2.8107592537500001</v>
      </c>
      <c r="AN16" s="46">
        <f ca="1">+SUMIFS(South!20:20,South!$3:$3,Segments!AN$3)</f>
        <v>7.0365262668750006</v>
      </c>
      <c r="AO16" s="46">
        <f ca="1">+SUMIFS(South!20:20,South!$3:$3,Segments!AO$3)</f>
        <v>62.039894470312504</v>
      </c>
      <c r="AP16" s="46">
        <f ca="1">+SUMIFS(South!20:20,South!$3:$3,Segments!AP$3)</f>
        <v>71.772239055487503</v>
      </c>
      <c r="AQ16" s="46">
        <f ca="1">+SUMIFS(South!20:20,South!$3:$3,Segments!AQ$3)</f>
        <v>2.8810282350937499</v>
      </c>
      <c r="AR16" s="46">
        <f ca="1">+SUMIFS(South!20:20,South!$3:$3,Segments!AR$3)</f>
        <v>7.2124394235468747</v>
      </c>
      <c r="AS16" s="46">
        <f ca="1">+SUMIFS(South!20:20,South!$3:$3,Segments!AS$3)</f>
        <v>63.590891832070312</v>
      </c>
      <c r="AT16" s="46">
        <f ca="1">+SUMIFS(South!20:20,South!$3:$3,Segments!AT$3)</f>
        <v>73.566545031874682</v>
      </c>
      <c r="AU16" s="46">
        <f ca="1">+SUMIFS(South!20:20,South!$3:$3,Segments!AU$3)</f>
        <v>2.9530539409710936</v>
      </c>
      <c r="AV16" s="46">
        <f ca="1">+SUMIFS(South!20:20,South!$3:$3,Segments!AV$3)</f>
        <v>7.3927504091355463</v>
      </c>
      <c r="AW16" s="46">
        <f ca="1">+SUMIFS(South!20:20,South!$3:$3,Segments!AW$3)</f>
        <v>65.180664127872063</v>
      </c>
      <c r="AX16" s="46">
        <f ca="1">+SUMIFS(South!20:20,South!$3:$3,Segments!AX$3)</f>
        <v>75.405708657671539</v>
      </c>
      <c r="AY16" s="46">
        <f ca="1">+SUMIFS(South!20:20,South!$3:$3,Segments!AY$3)</f>
        <v>3.0268802894953706</v>
      </c>
      <c r="AZ16" s="46">
        <f ca="1">+SUMIFS(South!20:20,South!$3:$3,Segments!AZ$3)</f>
        <v>7.577569169363934</v>
      </c>
      <c r="BA16" s="46">
        <f ca="1">+SUMIFS(South!20:20,South!$3:$3,Segments!BA$3)</f>
        <v>66.810180731068854</v>
      </c>
      <c r="BB16" s="8" t="s">
        <v>75</v>
      </c>
    </row>
    <row r="17" spans="2:54" s="2" customFormat="1" x14ac:dyDescent="0.2">
      <c r="B17" s="2" t="s">
        <v>8</v>
      </c>
      <c r="C17" s="45" t="s">
        <v>201</v>
      </c>
      <c r="F17" s="13">
        <f t="shared" si="9"/>
        <v>2836.3729999999996</v>
      </c>
      <c r="G17" s="13">
        <f t="shared" si="9"/>
        <v>3672.8781899999994</v>
      </c>
      <c r="H17" s="13">
        <f t="shared" si="9"/>
        <v>3358.49757</v>
      </c>
      <c r="I17" s="13">
        <f t="shared" ca="1" si="9"/>
        <v>3425.6675213999997</v>
      </c>
      <c r="J17" s="13">
        <f t="shared" ca="1" si="9"/>
        <v>3494.1808718279999</v>
      </c>
      <c r="K17" s="13">
        <f t="shared" ca="1" si="9"/>
        <v>3564.0644892645601</v>
      </c>
      <c r="L17" s="13">
        <f t="shared" ca="1" si="9"/>
        <v>3635.3457790498514</v>
      </c>
      <c r="M17" s="13">
        <f t="shared" ca="1" si="9"/>
        <v>3708.0526946308482</v>
      </c>
      <c r="N17" s="13">
        <f t="shared" ca="1" si="9"/>
        <v>3782.2137485234653</v>
      </c>
      <c r="P17" s="131">
        <f t="shared" ca="1" si="12"/>
        <v>2.0000000000000018E-2</v>
      </c>
      <c r="R17" s="13">
        <f t="shared" ref="R17:AC17" si="15">+R18+R19</f>
        <v>854.26400000000001</v>
      </c>
      <c r="S17" s="13">
        <f t="shared" si="15"/>
        <v>467.31200000000001</v>
      </c>
      <c r="T17" s="13">
        <f t="shared" si="15"/>
        <v>779.32299999999998</v>
      </c>
      <c r="U17" s="13">
        <f t="shared" si="15"/>
        <v>735.47399999999993</v>
      </c>
      <c r="V17" s="13">
        <f t="shared" si="15"/>
        <v>681.69042000000013</v>
      </c>
      <c r="W17" s="13">
        <f t="shared" si="15"/>
        <v>820.16552999999999</v>
      </c>
      <c r="X17" s="13">
        <f t="shared" si="15"/>
        <v>972.25004999999987</v>
      </c>
      <c r="Y17" s="13">
        <f t="shared" si="15"/>
        <v>1198.7721899999999</v>
      </c>
      <c r="Z17" s="13">
        <f t="shared" si="15"/>
        <v>1040.6108299999999</v>
      </c>
      <c r="AA17" s="13">
        <f t="shared" si="15"/>
        <v>817.57574</v>
      </c>
      <c r="AB17" s="13">
        <f t="shared" si="15"/>
        <v>1039.6507000000001</v>
      </c>
      <c r="AC17" s="13">
        <f t="shared" si="15"/>
        <v>460.66030000000001</v>
      </c>
      <c r="AD17" s="13">
        <f t="shared" ref="AD17:BA17" ca="1" si="16">+AD18+AD19</f>
        <v>1061.4230465999999</v>
      </c>
      <c r="AE17" s="13">
        <f t="shared" ca="1" si="16"/>
        <v>833.92725480000001</v>
      </c>
      <c r="AF17" s="13">
        <f t="shared" ca="1" si="16"/>
        <v>1060.4437140000002</v>
      </c>
      <c r="AG17" s="13">
        <f t="shared" ca="1" si="16"/>
        <v>469.87350600000002</v>
      </c>
      <c r="AH17" s="13">
        <f t="shared" ca="1" si="16"/>
        <v>1082.6515075319999</v>
      </c>
      <c r="AI17" s="13">
        <f t="shared" ca="1" si="16"/>
        <v>850.60579989600001</v>
      </c>
      <c r="AJ17" s="13">
        <f t="shared" ca="1" si="16"/>
        <v>1081.6525882800001</v>
      </c>
      <c r="AK17" s="13">
        <f t="shared" ca="1" si="16"/>
        <v>479.27097612000006</v>
      </c>
      <c r="AL17" s="13">
        <f t="shared" ca="1" si="16"/>
        <v>1104.3045376826399</v>
      </c>
      <c r="AM17" s="13">
        <f t="shared" ca="1" si="16"/>
        <v>867.61791589391999</v>
      </c>
      <c r="AN17" s="13">
        <f t="shared" ca="1" si="16"/>
        <v>1103.2856400456001</v>
      </c>
      <c r="AO17" s="13">
        <f t="shared" ca="1" si="16"/>
        <v>488.85639564240006</v>
      </c>
      <c r="AP17" s="13">
        <f t="shared" ca="1" si="16"/>
        <v>1126.3906284362927</v>
      </c>
      <c r="AQ17" s="13">
        <f t="shared" ca="1" si="16"/>
        <v>884.97027421179837</v>
      </c>
      <c r="AR17" s="13">
        <f t="shared" ca="1" si="16"/>
        <v>1125.3513528465121</v>
      </c>
      <c r="AS17" s="13">
        <f t="shared" ca="1" si="16"/>
        <v>498.63352355524808</v>
      </c>
      <c r="AT17" s="13">
        <f t="shared" ca="1" si="16"/>
        <v>1148.9184410050186</v>
      </c>
      <c r="AU17" s="13">
        <f t="shared" ca="1" si="16"/>
        <v>902.66967969603434</v>
      </c>
      <c r="AV17" s="13">
        <f t="shared" ca="1" si="16"/>
        <v>1147.8583799034423</v>
      </c>
      <c r="AW17" s="13">
        <f t="shared" ca="1" si="16"/>
        <v>508.60619402635302</v>
      </c>
      <c r="AX17" s="13">
        <f t="shared" ca="1" si="16"/>
        <v>1171.8968098251189</v>
      </c>
      <c r="AY17" s="13">
        <f t="shared" ca="1" si="16"/>
        <v>920.7230732899551</v>
      </c>
      <c r="AZ17" s="13">
        <f t="shared" ca="1" si="16"/>
        <v>1170.8155475015112</v>
      </c>
      <c r="BA17" s="13">
        <f t="shared" ca="1" si="16"/>
        <v>518.77831790688015</v>
      </c>
      <c r="BB17" s="83" t="s">
        <v>75</v>
      </c>
    </row>
    <row r="18" spans="2:54" x14ac:dyDescent="0.2">
      <c r="B18" s="19" t="s">
        <v>15</v>
      </c>
      <c r="C18" s="45" t="s">
        <v>201</v>
      </c>
      <c r="D18" s="2"/>
      <c r="E18" s="2"/>
      <c r="F18" s="11">
        <f t="shared" ref="F18:N26" si="17">+SUMIFS(18:18,$6:$6,F$3)</f>
        <v>2377.1930000000002</v>
      </c>
      <c r="G18" s="11">
        <f t="shared" si="17"/>
        <v>3200.4921899999999</v>
      </c>
      <c r="H18" s="11">
        <f t="shared" si="17"/>
        <v>3358.49757</v>
      </c>
      <c r="I18" s="11">
        <f t="shared" ca="1" si="17"/>
        <v>3425.6675213999997</v>
      </c>
      <c r="J18" s="11">
        <f t="shared" ca="1" si="17"/>
        <v>3494.1808718279999</v>
      </c>
      <c r="K18" s="11">
        <f t="shared" ca="1" si="17"/>
        <v>3564.0644892645601</v>
      </c>
      <c r="L18" s="11">
        <f t="shared" ca="1" si="17"/>
        <v>3635.3457790498514</v>
      </c>
      <c r="M18" s="11">
        <f t="shared" ca="1" si="17"/>
        <v>3708.0526946308482</v>
      </c>
      <c r="N18" s="11">
        <f t="shared" ca="1" si="17"/>
        <v>3782.2137485234653</v>
      </c>
      <c r="P18" s="97">
        <f t="shared" ca="1" si="12"/>
        <v>2.0000000000000018E-2</v>
      </c>
      <c r="R18" s="46">
        <f>+SUMIFS('Costal Nav'!17:17,'Costal Nav'!$3:$3,Segments!R$3)</f>
        <v>614.91200000000003</v>
      </c>
      <c r="S18" s="46">
        <f>+SUMIFS('Costal Nav'!17:17,'Costal Nav'!$3:$3,Segments!S$3)</f>
        <v>446.10599999999999</v>
      </c>
      <c r="T18" s="46">
        <f>+SUMIFS('Costal Nav'!17:17,'Costal Nav'!$3:$3,Segments!T$3)</f>
        <v>743.71299999999997</v>
      </c>
      <c r="U18" s="46">
        <f>+SUMIFS('Costal Nav'!17:17,'Costal Nav'!$3:$3,Segments!U$3)</f>
        <v>572.46199999999999</v>
      </c>
      <c r="V18" s="46">
        <f>+SUMIFS('Costal Nav'!17:17,'Costal Nav'!$3:$3,Segments!V$3)</f>
        <v>521.1774200000001</v>
      </c>
      <c r="W18" s="46">
        <f>+SUMIFS('Costal Nav'!17:17,'Costal Nav'!$3:$3,Segments!W$3)</f>
        <v>744.81452999999999</v>
      </c>
      <c r="X18" s="46">
        <f>+SUMIFS('Costal Nav'!17:17,'Costal Nav'!$3:$3,Segments!X$3)</f>
        <v>892.9700499999999</v>
      </c>
      <c r="Y18" s="46">
        <f>+SUMIFS('Costal Nav'!17:17,'Costal Nav'!$3:$3,Segments!Y$3)</f>
        <v>1041.5301899999999</v>
      </c>
      <c r="Z18" s="46">
        <f>+SUMIFS('Costal Nav'!17:17,'Costal Nav'!$3:$3,Segments!Z$3)</f>
        <v>1040.6108299999999</v>
      </c>
      <c r="AA18" s="46">
        <f>+SUMIFS('Costal Nav'!17:17,'Costal Nav'!$3:$3,Segments!AA$3)</f>
        <v>817.57574</v>
      </c>
      <c r="AB18" s="46">
        <f>+SUMIFS('Costal Nav'!17:17,'Costal Nav'!$3:$3,Segments!AB$3)</f>
        <v>1039.6507000000001</v>
      </c>
      <c r="AC18" s="46">
        <f>+SUMIFS('Costal Nav'!17:17,'Costal Nav'!$3:$3,Segments!AC$3)</f>
        <v>460.66030000000001</v>
      </c>
      <c r="AD18" s="46">
        <f ca="1">+SUMIFS('Costal Nav'!17:17,'Costal Nav'!$3:$3,Segments!AD$3)</f>
        <v>1061.4230465999999</v>
      </c>
      <c r="AE18" s="46">
        <f ca="1">+SUMIFS('Costal Nav'!17:17,'Costal Nav'!$3:$3,Segments!AE$3)</f>
        <v>833.92725480000001</v>
      </c>
      <c r="AF18" s="46">
        <f ca="1">+SUMIFS('Costal Nav'!17:17,'Costal Nav'!$3:$3,Segments!AF$3)</f>
        <v>1060.4437140000002</v>
      </c>
      <c r="AG18" s="46">
        <f ca="1">+SUMIFS('Costal Nav'!17:17,'Costal Nav'!$3:$3,Segments!AG$3)</f>
        <v>469.87350600000002</v>
      </c>
      <c r="AH18" s="46">
        <f ca="1">+SUMIFS('Costal Nav'!17:17,'Costal Nav'!$3:$3,Segments!AH$3)</f>
        <v>1082.6515075319999</v>
      </c>
      <c r="AI18" s="46">
        <f ca="1">+SUMIFS('Costal Nav'!17:17,'Costal Nav'!$3:$3,Segments!AI$3)</f>
        <v>850.60579989600001</v>
      </c>
      <c r="AJ18" s="46">
        <f ca="1">+SUMIFS('Costal Nav'!17:17,'Costal Nav'!$3:$3,Segments!AJ$3)</f>
        <v>1081.6525882800001</v>
      </c>
      <c r="AK18" s="46">
        <f ca="1">+SUMIFS('Costal Nav'!17:17,'Costal Nav'!$3:$3,Segments!AK$3)</f>
        <v>479.27097612000006</v>
      </c>
      <c r="AL18" s="46">
        <f ca="1">+SUMIFS('Costal Nav'!17:17,'Costal Nav'!$3:$3,Segments!AL$3)</f>
        <v>1104.3045376826399</v>
      </c>
      <c r="AM18" s="46">
        <f ca="1">+SUMIFS('Costal Nav'!17:17,'Costal Nav'!$3:$3,Segments!AM$3)</f>
        <v>867.61791589391999</v>
      </c>
      <c r="AN18" s="46">
        <f ca="1">+SUMIFS('Costal Nav'!17:17,'Costal Nav'!$3:$3,Segments!AN$3)</f>
        <v>1103.2856400456001</v>
      </c>
      <c r="AO18" s="46">
        <f ca="1">+SUMIFS('Costal Nav'!17:17,'Costal Nav'!$3:$3,Segments!AO$3)</f>
        <v>488.85639564240006</v>
      </c>
      <c r="AP18" s="46">
        <f ca="1">+SUMIFS('Costal Nav'!17:17,'Costal Nav'!$3:$3,Segments!AP$3)</f>
        <v>1126.3906284362927</v>
      </c>
      <c r="AQ18" s="46">
        <f ca="1">+SUMIFS('Costal Nav'!17:17,'Costal Nav'!$3:$3,Segments!AQ$3)</f>
        <v>884.97027421179837</v>
      </c>
      <c r="AR18" s="46">
        <f ca="1">+SUMIFS('Costal Nav'!17:17,'Costal Nav'!$3:$3,Segments!AR$3)</f>
        <v>1125.3513528465121</v>
      </c>
      <c r="AS18" s="46">
        <f ca="1">+SUMIFS('Costal Nav'!17:17,'Costal Nav'!$3:$3,Segments!AS$3)</f>
        <v>498.63352355524808</v>
      </c>
      <c r="AT18" s="46">
        <f ca="1">+SUMIFS('Costal Nav'!17:17,'Costal Nav'!$3:$3,Segments!AT$3)</f>
        <v>1148.9184410050186</v>
      </c>
      <c r="AU18" s="46">
        <f ca="1">+SUMIFS('Costal Nav'!17:17,'Costal Nav'!$3:$3,Segments!AU$3)</f>
        <v>902.66967969603434</v>
      </c>
      <c r="AV18" s="46">
        <f ca="1">+SUMIFS('Costal Nav'!17:17,'Costal Nav'!$3:$3,Segments!AV$3)</f>
        <v>1147.8583799034423</v>
      </c>
      <c r="AW18" s="46">
        <f ca="1">+SUMIFS('Costal Nav'!17:17,'Costal Nav'!$3:$3,Segments!AW$3)</f>
        <v>508.60619402635302</v>
      </c>
      <c r="AX18" s="46">
        <f ca="1">+SUMIFS('Costal Nav'!17:17,'Costal Nav'!$3:$3,Segments!AX$3)</f>
        <v>1171.8968098251189</v>
      </c>
      <c r="AY18" s="46">
        <f ca="1">+SUMIFS('Costal Nav'!17:17,'Costal Nav'!$3:$3,Segments!AY$3)</f>
        <v>920.7230732899551</v>
      </c>
      <c r="AZ18" s="46">
        <f ca="1">+SUMIFS('Costal Nav'!17:17,'Costal Nav'!$3:$3,Segments!AZ$3)</f>
        <v>1170.8155475015112</v>
      </c>
      <c r="BA18" s="46">
        <f ca="1">+SUMIFS('Costal Nav'!17:17,'Costal Nav'!$3:$3,Segments!BA$3)</f>
        <v>518.77831790688015</v>
      </c>
      <c r="BB18" s="8" t="s">
        <v>75</v>
      </c>
    </row>
    <row r="19" spans="2:54" x14ac:dyDescent="0.2">
      <c r="B19" s="19" t="s">
        <v>14</v>
      </c>
      <c r="C19" s="45" t="s">
        <v>201</v>
      </c>
      <c r="D19" s="2"/>
      <c r="E19" s="2"/>
      <c r="F19" s="11">
        <f t="shared" si="17"/>
        <v>459.18</v>
      </c>
      <c r="G19" s="11">
        <f t="shared" si="17"/>
        <v>472.38599999999997</v>
      </c>
      <c r="H19" s="11">
        <f t="shared" si="17"/>
        <v>0</v>
      </c>
      <c r="I19" s="11">
        <f t="shared" ca="1" si="17"/>
        <v>0</v>
      </c>
      <c r="J19" s="11">
        <f t="shared" ca="1" si="17"/>
        <v>0</v>
      </c>
      <c r="K19" s="11">
        <f t="shared" ca="1" si="17"/>
        <v>0</v>
      </c>
      <c r="L19" s="11">
        <f t="shared" ca="1" si="17"/>
        <v>0</v>
      </c>
      <c r="M19" s="11">
        <f t="shared" ca="1" si="17"/>
        <v>0</v>
      </c>
      <c r="N19" s="11">
        <f t="shared" ca="1" si="17"/>
        <v>0</v>
      </c>
      <c r="P19" s="97" t="str">
        <f t="shared" ca="1" si="12"/>
        <v>NM</v>
      </c>
      <c r="R19" s="46">
        <f>+SUMIFS('Costal Nav'!18:18,'Costal Nav'!$3:$3,Segments!R$3)</f>
        <v>239.352</v>
      </c>
      <c r="S19" s="46">
        <f>+SUMIFS('Costal Nav'!18:18,'Costal Nav'!$3:$3,Segments!S$3)</f>
        <v>21.206</v>
      </c>
      <c r="T19" s="46">
        <f>+SUMIFS('Costal Nav'!18:18,'Costal Nav'!$3:$3,Segments!T$3)</f>
        <v>35.61</v>
      </c>
      <c r="U19" s="46">
        <f>+SUMIFS('Costal Nav'!18:18,'Costal Nav'!$3:$3,Segments!U$3)</f>
        <v>163.012</v>
      </c>
      <c r="V19" s="46">
        <f>+SUMIFS('Costal Nav'!18:18,'Costal Nav'!$3:$3,Segments!V$3)</f>
        <v>160.51300000000001</v>
      </c>
      <c r="W19" s="46">
        <f>+SUMIFS('Costal Nav'!18:18,'Costal Nav'!$3:$3,Segments!W$3)</f>
        <v>75.350999999999999</v>
      </c>
      <c r="X19" s="46">
        <f>+SUMIFS('Costal Nav'!18:18,'Costal Nav'!$3:$3,Segments!X$3)</f>
        <v>79.28</v>
      </c>
      <c r="Y19" s="46">
        <f>+SUMIFS('Costal Nav'!18:18,'Costal Nav'!$3:$3,Segments!Y$3)</f>
        <v>157.24199999999999</v>
      </c>
      <c r="Z19" s="46">
        <f>+SUMIFS('Costal Nav'!18:18,'Costal Nav'!$3:$3,Segments!Z$3)</f>
        <v>0</v>
      </c>
      <c r="AA19" s="46">
        <f>+SUMIFS('Costal Nav'!18:18,'Costal Nav'!$3:$3,Segments!AA$3)</f>
        <v>0</v>
      </c>
      <c r="AB19" s="46">
        <f>+SUMIFS('Costal Nav'!18:18,'Costal Nav'!$3:$3,Segments!AB$3)</f>
        <v>0</v>
      </c>
      <c r="AC19" s="46">
        <f>+SUMIFS('Costal Nav'!18:18,'Costal Nav'!$3:$3,Segments!AC$3)</f>
        <v>0</v>
      </c>
      <c r="AD19" s="46">
        <f ca="1">+SUMIFS('Costal Nav'!18:18,'Costal Nav'!$3:$3,Segments!AD$3)</f>
        <v>0</v>
      </c>
      <c r="AE19" s="46">
        <f ca="1">+SUMIFS('Costal Nav'!18:18,'Costal Nav'!$3:$3,Segments!AE$3)</f>
        <v>0</v>
      </c>
      <c r="AF19" s="46">
        <f ca="1">+SUMIFS('Costal Nav'!18:18,'Costal Nav'!$3:$3,Segments!AF$3)</f>
        <v>0</v>
      </c>
      <c r="AG19" s="46">
        <f ca="1">+SUMIFS('Costal Nav'!18:18,'Costal Nav'!$3:$3,Segments!AG$3)</f>
        <v>0</v>
      </c>
      <c r="AH19" s="46">
        <f ca="1">+SUMIFS('Costal Nav'!18:18,'Costal Nav'!$3:$3,Segments!AH$3)</f>
        <v>0</v>
      </c>
      <c r="AI19" s="46">
        <f ca="1">+SUMIFS('Costal Nav'!18:18,'Costal Nav'!$3:$3,Segments!AI$3)</f>
        <v>0</v>
      </c>
      <c r="AJ19" s="46">
        <f ca="1">+SUMIFS('Costal Nav'!18:18,'Costal Nav'!$3:$3,Segments!AJ$3)</f>
        <v>0</v>
      </c>
      <c r="AK19" s="46">
        <f ca="1">+SUMIFS('Costal Nav'!18:18,'Costal Nav'!$3:$3,Segments!AK$3)</f>
        <v>0</v>
      </c>
      <c r="AL19" s="46">
        <f ca="1">+SUMIFS('Costal Nav'!18:18,'Costal Nav'!$3:$3,Segments!AL$3)</f>
        <v>0</v>
      </c>
      <c r="AM19" s="46">
        <f ca="1">+SUMIFS('Costal Nav'!18:18,'Costal Nav'!$3:$3,Segments!AM$3)</f>
        <v>0</v>
      </c>
      <c r="AN19" s="46">
        <f ca="1">+SUMIFS('Costal Nav'!18:18,'Costal Nav'!$3:$3,Segments!AN$3)</f>
        <v>0</v>
      </c>
      <c r="AO19" s="46">
        <f ca="1">+SUMIFS('Costal Nav'!18:18,'Costal Nav'!$3:$3,Segments!AO$3)</f>
        <v>0</v>
      </c>
      <c r="AP19" s="46">
        <f ca="1">+SUMIFS('Costal Nav'!18:18,'Costal Nav'!$3:$3,Segments!AP$3)</f>
        <v>0</v>
      </c>
      <c r="AQ19" s="46">
        <f ca="1">+SUMIFS('Costal Nav'!18:18,'Costal Nav'!$3:$3,Segments!AQ$3)</f>
        <v>0</v>
      </c>
      <c r="AR19" s="46">
        <f ca="1">+SUMIFS('Costal Nav'!18:18,'Costal Nav'!$3:$3,Segments!AR$3)</f>
        <v>0</v>
      </c>
      <c r="AS19" s="46">
        <f ca="1">+SUMIFS('Costal Nav'!18:18,'Costal Nav'!$3:$3,Segments!AS$3)</f>
        <v>0</v>
      </c>
      <c r="AT19" s="46">
        <f ca="1">+SUMIFS('Costal Nav'!18:18,'Costal Nav'!$3:$3,Segments!AT$3)</f>
        <v>0</v>
      </c>
      <c r="AU19" s="46">
        <f ca="1">+SUMIFS('Costal Nav'!18:18,'Costal Nav'!$3:$3,Segments!AU$3)</f>
        <v>0</v>
      </c>
      <c r="AV19" s="46">
        <f ca="1">+SUMIFS('Costal Nav'!18:18,'Costal Nav'!$3:$3,Segments!AV$3)</f>
        <v>0</v>
      </c>
      <c r="AW19" s="46">
        <f ca="1">+SUMIFS('Costal Nav'!18:18,'Costal Nav'!$3:$3,Segments!AW$3)</f>
        <v>0</v>
      </c>
      <c r="AX19" s="46">
        <f ca="1">+SUMIFS('Costal Nav'!18:18,'Costal Nav'!$3:$3,Segments!AX$3)</f>
        <v>0</v>
      </c>
      <c r="AY19" s="46">
        <f ca="1">+SUMIFS('Costal Nav'!18:18,'Costal Nav'!$3:$3,Segments!AY$3)</f>
        <v>0</v>
      </c>
      <c r="AZ19" s="46">
        <f ca="1">+SUMIFS('Costal Nav'!18:18,'Costal Nav'!$3:$3,Segments!AZ$3)</f>
        <v>0</v>
      </c>
      <c r="BA19" s="46">
        <f ca="1">+SUMIFS('Costal Nav'!18:18,'Costal Nav'!$3:$3,Segments!BA$3)</f>
        <v>0</v>
      </c>
      <c r="BB19" s="8" t="s">
        <v>75</v>
      </c>
    </row>
    <row r="20" spans="2:54" s="2" customFormat="1" x14ac:dyDescent="0.2">
      <c r="B20" s="2" t="s">
        <v>10</v>
      </c>
      <c r="C20" s="45" t="s">
        <v>201</v>
      </c>
      <c r="F20" s="13">
        <f t="shared" si="17"/>
        <v>0</v>
      </c>
      <c r="G20" s="13">
        <f t="shared" si="17"/>
        <v>0</v>
      </c>
      <c r="H20" s="13">
        <f t="shared" si="17"/>
        <v>628.00829900000008</v>
      </c>
      <c r="I20" s="13">
        <f t="shared" ca="1" si="17"/>
        <v>933.12930249705755</v>
      </c>
      <c r="J20" s="13">
        <f t="shared" ca="1" si="17"/>
        <v>2471.0180940269411</v>
      </c>
      <c r="K20" s="13">
        <f t="shared" ca="1" si="17"/>
        <v>2555.4453224269919</v>
      </c>
      <c r="L20" s="13">
        <f t="shared" ca="1" si="17"/>
        <v>2642.8234544032712</v>
      </c>
      <c r="M20" s="13">
        <f t="shared" ca="1" si="17"/>
        <v>2733.2579930605957</v>
      </c>
      <c r="N20" s="13">
        <f t="shared" ca="1" si="17"/>
        <v>2826.8582958905031</v>
      </c>
      <c r="P20" s="131">
        <f t="shared" ca="1" si="12"/>
        <v>0.24816627021187077</v>
      </c>
      <c r="Q20" s="13"/>
      <c r="R20" s="13">
        <f t="shared" ref="R20:Z20" si="18">+R21+R22</f>
        <v>0</v>
      </c>
      <c r="S20" s="13">
        <f t="shared" si="18"/>
        <v>0</v>
      </c>
      <c r="T20" s="13">
        <f t="shared" si="18"/>
        <v>0</v>
      </c>
      <c r="U20" s="13">
        <f t="shared" si="18"/>
        <v>0</v>
      </c>
      <c r="V20" s="13">
        <f t="shared" si="18"/>
        <v>0</v>
      </c>
      <c r="W20" s="13">
        <f t="shared" si="18"/>
        <v>0</v>
      </c>
      <c r="X20" s="13">
        <f t="shared" si="18"/>
        <v>0</v>
      </c>
      <c r="Y20" s="13">
        <f t="shared" si="18"/>
        <v>0</v>
      </c>
      <c r="Z20" s="13">
        <f t="shared" si="18"/>
        <v>0</v>
      </c>
      <c r="AA20" s="13">
        <f>+AA21+AA22</f>
        <v>151.243065</v>
      </c>
      <c r="AB20" s="13">
        <f>+AB21+AB22</f>
        <v>249.22849600000001</v>
      </c>
      <c r="AC20" s="13">
        <f>+AC21+AC22</f>
        <v>227.53673800000001</v>
      </c>
      <c r="AD20" s="13">
        <f t="shared" ref="AD20:BA20" ca="1" si="19">+AD21+AD22</f>
        <v>229.81210538000002</v>
      </c>
      <c r="AE20" s="13">
        <f t="shared" ca="1" si="19"/>
        <v>232.11022643380002</v>
      </c>
      <c r="AF20" s="13">
        <f t="shared" ca="1" si="19"/>
        <v>234.43132869813803</v>
      </c>
      <c r="AG20" s="13">
        <f t="shared" ca="1" si="19"/>
        <v>236.77564198511942</v>
      </c>
      <c r="AH20" s="13">
        <f t="shared" ca="1" si="19"/>
        <v>614.14339840497064</v>
      </c>
      <c r="AI20" s="13">
        <f t="shared" ca="1" si="19"/>
        <v>616.53483238902027</v>
      </c>
      <c r="AJ20" s="13">
        <f t="shared" ca="1" si="19"/>
        <v>618.95018071291054</v>
      </c>
      <c r="AK20" s="13">
        <f t="shared" ca="1" si="19"/>
        <v>621.38968252003963</v>
      </c>
      <c r="AL20" s="13">
        <f t="shared" ca="1" si="19"/>
        <v>635.10357934524006</v>
      </c>
      <c r="AM20" s="13">
        <f t="shared" ca="1" si="19"/>
        <v>637.59211513869241</v>
      </c>
      <c r="AN20" s="13">
        <f t="shared" ca="1" si="19"/>
        <v>640.10553629007939</v>
      </c>
      <c r="AO20" s="13">
        <f t="shared" ca="1" si="19"/>
        <v>642.64409165298025</v>
      </c>
      <c r="AP20" s="13">
        <f t="shared" ca="1" si="19"/>
        <v>656.79553256950999</v>
      </c>
      <c r="AQ20" s="13">
        <f t="shared" ca="1" si="19"/>
        <v>659.38511289520511</v>
      </c>
      <c r="AR20" s="13">
        <f t="shared" ca="1" si="19"/>
        <v>662.00058902415719</v>
      </c>
      <c r="AS20" s="13">
        <f t="shared" ca="1" si="19"/>
        <v>664.64221991439877</v>
      </c>
      <c r="AT20" s="13">
        <f t="shared" ca="1" si="19"/>
        <v>679.24539211354272</v>
      </c>
      <c r="AU20" s="13">
        <f t="shared" ca="1" si="19"/>
        <v>681.94011978467813</v>
      </c>
      <c r="AV20" s="13">
        <f t="shared" ca="1" si="19"/>
        <v>684.66179473252487</v>
      </c>
      <c r="AW20" s="13">
        <f t="shared" ca="1" si="19"/>
        <v>687.4106864298501</v>
      </c>
      <c r="AX20" s="13">
        <f t="shared" ca="1" si="19"/>
        <v>702.48024579414869</v>
      </c>
      <c r="AY20" s="13">
        <f t="shared" ca="1" si="19"/>
        <v>705.28439021459019</v>
      </c>
      <c r="AZ20" s="13">
        <f t="shared" ca="1" si="19"/>
        <v>708.1165760792361</v>
      </c>
      <c r="BA20" s="13">
        <f t="shared" ca="1" si="19"/>
        <v>710.97708380252845</v>
      </c>
      <c r="BB20" s="83" t="s">
        <v>75</v>
      </c>
    </row>
    <row r="21" spans="2:54" x14ac:dyDescent="0.2">
      <c r="B21" s="19" t="s">
        <v>12</v>
      </c>
      <c r="C21" s="45" t="s">
        <v>201</v>
      </c>
      <c r="D21" s="2"/>
      <c r="E21" s="2"/>
      <c r="F21" s="11">
        <f t="shared" si="17"/>
        <v>0</v>
      </c>
      <c r="G21" s="11">
        <f t="shared" si="17"/>
        <v>0</v>
      </c>
      <c r="H21" s="11">
        <f t="shared" si="17"/>
        <v>628.00829900000008</v>
      </c>
      <c r="I21" s="11">
        <f t="shared" ca="1" si="17"/>
        <v>933.12930249705755</v>
      </c>
      <c r="J21" s="11">
        <f t="shared" ca="1" si="17"/>
        <v>971.01809402694107</v>
      </c>
      <c r="K21" s="11">
        <f t="shared" ca="1" si="17"/>
        <v>1010.4453224269921</v>
      </c>
      <c r="L21" s="11">
        <f t="shared" ca="1" si="17"/>
        <v>1051.4734544032713</v>
      </c>
      <c r="M21" s="11">
        <f t="shared" ca="1" si="17"/>
        <v>1094.1674930605961</v>
      </c>
      <c r="N21" s="11">
        <f t="shared" ca="1" si="17"/>
        <v>1138.5950808905036</v>
      </c>
      <c r="P21" s="97">
        <f t="shared" ca="1" si="12"/>
        <v>4.0604010000000024E-2</v>
      </c>
      <c r="Q21" s="13"/>
      <c r="R21" s="46">
        <f>+SUMIFS(Santos!10:10,Santos!$3:$3,Segments!R$3)</f>
        <v>0</v>
      </c>
      <c r="S21" s="46">
        <f>+SUMIFS(Santos!10:10,Santos!$3:$3,Segments!S$3)</f>
        <v>0</v>
      </c>
      <c r="T21" s="46">
        <f>+SUMIFS(Santos!10:10,Santos!$3:$3,Segments!T$3)</f>
        <v>0</v>
      </c>
      <c r="U21" s="46">
        <f>+SUMIFS(Santos!10:10,Santos!$3:$3,Segments!U$3)</f>
        <v>0</v>
      </c>
      <c r="V21" s="46">
        <f>+SUMIFS(Santos!10:10,Santos!$3:$3,Segments!V$3)</f>
        <v>0</v>
      </c>
      <c r="W21" s="46">
        <f>+SUMIFS(Santos!10:10,Santos!$3:$3,Segments!W$3)</f>
        <v>0</v>
      </c>
      <c r="X21" s="46">
        <f>+SUMIFS(Santos!10:10,Santos!$3:$3,Segments!X$3)</f>
        <v>0</v>
      </c>
      <c r="Y21" s="46">
        <f>+SUMIFS(Santos!10:10,Santos!$3:$3,Segments!Y$3)</f>
        <v>0</v>
      </c>
      <c r="Z21" s="46">
        <f>+SUMIFS(Santos!10:10,Santos!$3:$3,Segments!Z$3)</f>
        <v>0</v>
      </c>
      <c r="AA21" s="46">
        <f>+SUMIFS(Santos!10:10,Santos!$3:$3,Segments!AA$3)</f>
        <v>151.243065</v>
      </c>
      <c r="AB21" s="46">
        <f>+SUMIFS(Santos!10:10,Santos!$3:$3,Segments!AB$3)</f>
        <v>249.22849600000001</v>
      </c>
      <c r="AC21" s="46">
        <f>+SUMIFS(Santos!10:10,Santos!$3:$3,Segments!AC$3)</f>
        <v>227.53673800000001</v>
      </c>
      <c r="AD21" s="46">
        <f ca="1">+SUMIFS(Santos!10:10,Santos!$3:$3,Segments!AD$3)</f>
        <v>229.81210538000002</v>
      </c>
      <c r="AE21" s="46">
        <f ca="1">+SUMIFS(Santos!10:10,Santos!$3:$3,Segments!AE$3)</f>
        <v>232.11022643380002</v>
      </c>
      <c r="AF21" s="46">
        <f ca="1">+SUMIFS(Santos!10:10,Santos!$3:$3,Segments!AF$3)</f>
        <v>234.43132869813803</v>
      </c>
      <c r="AG21" s="46">
        <f ca="1">+SUMIFS(Santos!10:10,Santos!$3:$3,Segments!AG$3)</f>
        <v>236.77564198511942</v>
      </c>
      <c r="AH21" s="46">
        <f ca="1">+SUMIFS(Santos!10:10,Santos!$3:$3,Segments!AH$3)</f>
        <v>239.14339840497061</v>
      </c>
      <c r="AI21" s="46">
        <f ca="1">+SUMIFS(Santos!10:10,Santos!$3:$3,Segments!AI$3)</f>
        <v>241.53483238902032</v>
      </c>
      <c r="AJ21" s="46">
        <f ca="1">+SUMIFS(Santos!10:10,Santos!$3:$3,Segments!AJ$3)</f>
        <v>243.95018071291054</v>
      </c>
      <c r="AK21" s="46">
        <f ca="1">+SUMIFS(Santos!10:10,Santos!$3:$3,Segments!AK$3)</f>
        <v>246.38968252003966</v>
      </c>
      <c r="AL21" s="46">
        <f ca="1">+SUMIFS(Santos!10:10,Santos!$3:$3,Segments!AL$3)</f>
        <v>248.85357934524006</v>
      </c>
      <c r="AM21" s="46">
        <f ca="1">+SUMIFS(Santos!10:10,Santos!$3:$3,Segments!AM$3)</f>
        <v>251.34211513869246</v>
      </c>
      <c r="AN21" s="46">
        <f ca="1">+SUMIFS(Santos!10:10,Santos!$3:$3,Segments!AN$3)</f>
        <v>253.85553629007939</v>
      </c>
      <c r="AO21" s="46">
        <f ca="1">+SUMIFS(Santos!10:10,Santos!$3:$3,Segments!AO$3)</f>
        <v>256.39409165298019</v>
      </c>
      <c r="AP21" s="46">
        <f ca="1">+SUMIFS(Santos!10:10,Santos!$3:$3,Segments!AP$3)</f>
        <v>258.95803256951001</v>
      </c>
      <c r="AQ21" s="46">
        <f ca="1">+SUMIFS(Santos!10:10,Santos!$3:$3,Segments!AQ$3)</f>
        <v>261.54761289520513</v>
      </c>
      <c r="AR21" s="46">
        <f ca="1">+SUMIFS(Santos!10:10,Santos!$3:$3,Segments!AR$3)</f>
        <v>264.16308902415722</v>
      </c>
      <c r="AS21" s="46">
        <f ca="1">+SUMIFS(Santos!10:10,Santos!$3:$3,Segments!AS$3)</f>
        <v>266.80471991439879</v>
      </c>
      <c r="AT21" s="46">
        <f ca="1">+SUMIFS(Santos!10:10,Santos!$3:$3,Segments!AT$3)</f>
        <v>269.47276711354277</v>
      </c>
      <c r="AU21" s="46">
        <f ca="1">+SUMIFS(Santos!10:10,Santos!$3:$3,Segments!AU$3)</f>
        <v>272.16749478467818</v>
      </c>
      <c r="AV21" s="46">
        <f ca="1">+SUMIFS(Santos!10:10,Santos!$3:$3,Segments!AV$3)</f>
        <v>274.88916973252498</v>
      </c>
      <c r="AW21" s="46">
        <f ca="1">+SUMIFS(Santos!10:10,Santos!$3:$3,Segments!AW$3)</f>
        <v>277.63806142985021</v>
      </c>
      <c r="AX21" s="46">
        <f ca="1">+SUMIFS(Santos!10:10,Santos!$3:$3,Segments!AX$3)</f>
        <v>280.4144420441487</v>
      </c>
      <c r="AY21" s="46">
        <f ca="1">+SUMIFS(Santos!10:10,Santos!$3:$3,Segments!AY$3)</f>
        <v>283.2185864645902</v>
      </c>
      <c r="AZ21" s="46">
        <f ca="1">+SUMIFS(Santos!10:10,Santos!$3:$3,Segments!AZ$3)</f>
        <v>286.05077232923611</v>
      </c>
      <c r="BA21" s="46">
        <f ca="1">+SUMIFS(Santos!10:10,Santos!$3:$3,Segments!BA$3)</f>
        <v>288.91128005252847</v>
      </c>
      <c r="BB21" s="8" t="s">
        <v>75</v>
      </c>
    </row>
    <row r="22" spans="2:54" x14ac:dyDescent="0.2">
      <c r="B22" s="19" t="s">
        <v>9</v>
      </c>
      <c r="C22" s="45" t="s">
        <v>201</v>
      </c>
      <c r="D22" s="2"/>
      <c r="E22" s="2"/>
      <c r="F22" s="11">
        <f t="shared" si="17"/>
        <v>0</v>
      </c>
      <c r="G22" s="11">
        <f t="shared" si="17"/>
        <v>0</v>
      </c>
      <c r="H22" s="11">
        <f t="shared" si="17"/>
        <v>0</v>
      </c>
      <c r="I22" s="11">
        <f t="shared" si="17"/>
        <v>0</v>
      </c>
      <c r="J22" s="11">
        <f t="shared" si="17"/>
        <v>1500</v>
      </c>
      <c r="K22" s="11">
        <f t="shared" si="17"/>
        <v>1545</v>
      </c>
      <c r="L22" s="11">
        <f t="shared" si="17"/>
        <v>1591.35</v>
      </c>
      <c r="M22" s="11">
        <f t="shared" si="17"/>
        <v>1639.0904999999998</v>
      </c>
      <c r="N22" s="11">
        <f t="shared" si="17"/>
        <v>1688.2632149999999</v>
      </c>
      <c r="P22" s="97" t="str">
        <f t="shared" si="12"/>
        <v>NM</v>
      </c>
      <c r="Q22" s="13"/>
      <c r="R22" s="46">
        <f>+SUMIFS(Santos!11:11,Santos!$3:$3,Segments!R$3)</f>
        <v>0</v>
      </c>
      <c r="S22" s="46">
        <f>+SUMIFS(Santos!11:11,Santos!$3:$3,Segments!S$3)</f>
        <v>0</v>
      </c>
      <c r="T22" s="46">
        <f>+SUMIFS(Santos!11:11,Santos!$3:$3,Segments!T$3)</f>
        <v>0</v>
      </c>
      <c r="U22" s="46">
        <f>+SUMIFS(Santos!11:11,Santos!$3:$3,Segments!U$3)</f>
        <v>0</v>
      </c>
      <c r="V22" s="46">
        <f>+SUMIFS(Santos!11:11,Santos!$3:$3,Segments!V$3)</f>
        <v>0</v>
      </c>
      <c r="W22" s="46">
        <f>+SUMIFS(Santos!11:11,Santos!$3:$3,Segments!W$3)</f>
        <v>0</v>
      </c>
      <c r="X22" s="46">
        <f>+SUMIFS(Santos!11:11,Santos!$3:$3,Segments!X$3)</f>
        <v>0</v>
      </c>
      <c r="Y22" s="46">
        <f>+SUMIFS(Santos!11:11,Santos!$3:$3,Segments!Y$3)</f>
        <v>0</v>
      </c>
      <c r="Z22" s="46">
        <f>+SUMIFS(Santos!11:11,Santos!$3:$3,Segments!Z$3)</f>
        <v>0</v>
      </c>
      <c r="AA22" s="46">
        <f>+SUMIFS(Santos!11:11,Santos!$3:$3,Segments!AA$3)</f>
        <v>0</v>
      </c>
      <c r="AB22" s="46">
        <f>+SUMIFS(Santos!11:11,Santos!$3:$3,Segments!AB$3)</f>
        <v>0</v>
      </c>
      <c r="AC22" s="46">
        <f>+SUMIFS(Santos!11:11,Santos!$3:$3,Segments!AC$3)</f>
        <v>0</v>
      </c>
      <c r="AD22" s="46">
        <f>+SUMIFS(Santos!11:11,Santos!$3:$3,Segments!AD$3)</f>
        <v>0</v>
      </c>
      <c r="AE22" s="46">
        <f>+SUMIFS(Santos!11:11,Santos!$3:$3,Segments!AE$3)</f>
        <v>0</v>
      </c>
      <c r="AF22" s="46">
        <f>+SUMIFS(Santos!11:11,Santos!$3:$3,Segments!AF$3)</f>
        <v>0</v>
      </c>
      <c r="AG22" s="46">
        <f>+SUMIFS(Santos!11:11,Santos!$3:$3,Segments!AG$3)</f>
        <v>0</v>
      </c>
      <c r="AH22" s="46">
        <f>+SUMIFS(Santos!11:11,Santos!$3:$3,Segments!AH$3)</f>
        <v>375</v>
      </c>
      <c r="AI22" s="46">
        <f>+SUMIFS(Santos!11:11,Santos!$3:$3,Segments!AI$3)</f>
        <v>375</v>
      </c>
      <c r="AJ22" s="46">
        <f>+SUMIFS(Santos!11:11,Santos!$3:$3,Segments!AJ$3)</f>
        <v>375</v>
      </c>
      <c r="AK22" s="46">
        <f>+SUMIFS(Santos!11:11,Santos!$3:$3,Segments!AK$3)</f>
        <v>375</v>
      </c>
      <c r="AL22" s="46">
        <f>+SUMIFS(Santos!11:11,Santos!$3:$3,Segments!AL$3)</f>
        <v>386.25</v>
      </c>
      <c r="AM22" s="46">
        <f>+SUMIFS(Santos!11:11,Santos!$3:$3,Segments!AM$3)</f>
        <v>386.25</v>
      </c>
      <c r="AN22" s="46">
        <f>+SUMIFS(Santos!11:11,Santos!$3:$3,Segments!AN$3)</f>
        <v>386.25</v>
      </c>
      <c r="AO22" s="46">
        <f>+SUMIFS(Santos!11:11,Santos!$3:$3,Segments!AO$3)</f>
        <v>386.25</v>
      </c>
      <c r="AP22" s="46">
        <f>+SUMIFS(Santos!11:11,Santos!$3:$3,Segments!AP$3)</f>
        <v>397.83749999999998</v>
      </c>
      <c r="AQ22" s="46">
        <f>+SUMIFS(Santos!11:11,Santos!$3:$3,Segments!AQ$3)</f>
        <v>397.83749999999998</v>
      </c>
      <c r="AR22" s="46">
        <f>+SUMIFS(Santos!11:11,Santos!$3:$3,Segments!AR$3)</f>
        <v>397.83749999999998</v>
      </c>
      <c r="AS22" s="46">
        <f>+SUMIFS(Santos!11:11,Santos!$3:$3,Segments!AS$3)</f>
        <v>397.83749999999998</v>
      </c>
      <c r="AT22" s="46">
        <f>+SUMIFS(Santos!11:11,Santos!$3:$3,Segments!AT$3)</f>
        <v>409.77262499999995</v>
      </c>
      <c r="AU22" s="46">
        <f>+SUMIFS(Santos!11:11,Santos!$3:$3,Segments!AU$3)</f>
        <v>409.77262499999995</v>
      </c>
      <c r="AV22" s="46">
        <f>+SUMIFS(Santos!11:11,Santos!$3:$3,Segments!AV$3)</f>
        <v>409.77262499999995</v>
      </c>
      <c r="AW22" s="46">
        <f>+SUMIFS(Santos!11:11,Santos!$3:$3,Segments!AW$3)</f>
        <v>409.77262499999995</v>
      </c>
      <c r="AX22" s="46">
        <f>+SUMIFS(Santos!11:11,Santos!$3:$3,Segments!AX$3)</f>
        <v>422.06580374999999</v>
      </c>
      <c r="AY22" s="46">
        <f>+SUMIFS(Santos!11:11,Santos!$3:$3,Segments!AY$3)</f>
        <v>422.06580374999999</v>
      </c>
      <c r="AZ22" s="46">
        <f>+SUMIFS(Santos!11:11,Santos!$3:$3,Segments!AZ$3)</f>
        <v>422.06580374999999</v>
      </c>
      <c r="BA22" s="46">
        <f>+SUMIFS(Santos!11:11,Santos!$3:$3,Segments!BA$3)</f>
        <v>422.06580374999999</v>
      </c>
      <c r="BB22" s="8" t="s">
        <v>75</v>
      </c>
    </row>
    <row r="23" spans="2:54" s="2" customFormat="1" x14ac:dyDescent="0.2">
      <c r="B23" s="2" t="s">
        <v>615</v>
      </c>
      <c r="C23" s="45" t="s">
        <v>201</v>
      </c>
      <c r="F23" s="13">
        <f t="shared" si="17"/>
        <v>0</v>
      </c>
      <c r="G23" s="13">
        <f t="shared" ca="1" si="17"/>
        <v>0</v>
      </c>
      <c r="H23" s="13">
        <f t="shared" ca="1" si="17"/>
        <v>0</v>
      </c>
      <c r="I23" s="13">
        <f t="shared" ca="1" si="17"/>
        <v>0</v>
      </c>
      <c r="J23" s="13">
        <f t="shared" ca="1" si="17"/>
        <v>0</v>
      </c>
      <c r="K23" s="13">
        <f t="shared" ca="1" si="17"/>
        <v>0</v>
      </c>
      <c r="L23" s="13">
        <f t="shared" ca="1" si="17"/>
        <v>0</v>
      </c>
      <c r="M23" s="13">
        <f t="shared" ca="1" si="17"/>
        <v>0</v>
      </c>
      <c r="N23" s="13">
        <f t="shared" ca="1" si="17"/>
        <v>0</v>
      </c>
      <c r="P23" s="131" t="str">
        <f t="shared" ref="P23:P25" ca="1" si="20">+IFERROR((N23/I23)^(1/5)-1,"NM")</f>
        <v>NM</v>
      </c>
      <c r="Q23" s="13"/>
      <c r="R23" s="13">
        <f>+R24+R25+R26</f>
        <v>0</v>
      </c>
      <c r="S23" s="13">
        <f t="shared" ref="S23:BA23" si="21">+S24+S25+S26</f>
        <v>0</v>
      </c>
      <c r="T23" s="13">
        <f t="shared" si="21"/>
        <v>0</v>
      </c>
      <c r="U23" s="13">
        <f t="shared" si="21"/>
        <v>0</v>
      </c>
      <c r="V23" s="13">
        <f t="shared" ca="1" si="21"/>
        <v>0</v>
      </c>
      <c r="W23" s="13">
        <f t="shared" ca="1" si="21"/>
        <v>0</v>
      </c>
      <c r="X23" s="13">
        <f t="shared" ca="1" si="21"/>
        <v>0</v>
      </c>
      <c r="Y23" s="13">
        <f t="shared" ca="1" si="21"/>
        <v>0</v>
      </c>
      <c r="Z23" s="13">
        <f t="shared" ca="1" si="21"/>
        <v>0</v>
      </c>
      <c r="AA23" s="13">
        <f t="shared" ca="1" si="21"/>
        <v>0</v>
      </c>
      <c r="AB23" s="13">
        <f t="shared" ca="1" si="21"/>
        <v>0</v>
      </c>
      <c r="AC23" s="13">
        <f t="shared" ca="1" si="21"/>
        <v>0</v>
      </c>
      <c r="AD23" s="13">
        <f t="shared" ca="1" si="21"/>
        <v>0</v>
      </c>
      <c r="AE23" s="13">
        <f t="shared" ca="1" si="21"/>
        <v>0</v>
      </c>
      <c r="AF23" s="13">
        <f t="shared" ca="1" si="21"/>
        <v>0</v>
      </c>
      <c r="AG23" s="13">
        <f t="shared" ca="1" si="21"/>
        <v>0</v>
      </c>
      <c r="AH23" s="13">
        <f t="shared" ca="1" si="21"/>
        <v>0</v>
      </c>
      <c r="AI23" s="13">
        <f t="shared" ca="1" si="21"/>
        <v>0</v>
      </c>
      <c r="AJ23" s="13">
        <f t="shared" ca="1" si="21"/>
        <v>0</v>
      </c>
      <c r="AK23" s="13">
        <f t="shared" ca="1" si="21"/>
        <v>0</v>
      </c>
      <c r="AL23" s="13">
        <f t="shared" ca="1" si="21"/>
        <v>0</v>
      </c>
      <c r="AM23" s="13">
        <f t="shared" ca="1" si="21"/>
        <v>0</v>
      </c>
      <c r="AN23" s="13">
        <f t="shared" ca="1" si="21"/>
        <v>0</v>
      </c>
      <c r="AO23" s="13">
        <f t="shared" ca="1" si="21"/>
        <v>0</v>
      </c>
      <c r="AP23" s="13">
        <f t="shared" ca="1" si="21"/>
        <v>0</v>
      </c>
      <c r="AQ23" s="13">
        <f t="shared" ca="1" si="21"/>
        <v>0</v>
      </c>
      <c r="AR23" s="13">
        <f t="shared" ca="1" si="21"/>
        <v>0</v>
      </c>
      <c r="AS23" s="13">
        <f t="shared" ca="1" si="21"/>
        <v>0</v>
      </c>
      <c r="AT23" s="13">
        <f t="shared" ca="1" si="21"/>
        <v>0</v>
      </c>
      <c r="AU23" s="13">
        <f t="shared" ca="1" si="21"/>
        <v>0</v>
      </c>
      <c r="AV23" s="13">
        <f t="shared" ca="1" si="21"/>
        <v>0</v>
      </c>
      <c r="AW23" s="13">
        <f t="shared" ca="1" si="21"/>
        <v>0</v>
      </c>
      <c r="AX23" s="13">
        <f t="shared" ca="1" si="21"/>
        <v>0</v>
      </c>
      <c r="AY23" s="13">
        <f t="shared" ca="1" si="21"/>
        <v>0</v>
      </c>
      <c r="AZ23" s="13">
        <f t="shared" ca="1" si="21"/>
        <v>0</v>
      </c>
      <c r="BA23" s="13">
        <f t="shared" ca="1" si="21"/>
        <v>0</v>
      </c>
      <c r="BB23" s="83" t="s">
        <v>75</v>
      </c>
    </row>
    <row r="24" spans="2:54" x14ac:dyDescent="0.2">
      <c r="B24" s="19" t="s">
        <v>12</v>
      </c>
      <c r="C24" s="45" t="s">
        <v>201</v>
      </c>
      <c r="D24" s="2"/>
      <c r="E24" s="2"/>
      <c r="F24" s="11">
        <f t="shared" si="17"/>
        <v>0</v>
      </c>
      <c r="G24" s="11">
        <f t="shared" ca="1" si="17"/>
        <v>0</v>
      </c>
      <c r="H24" s="11">
        <f t="shared" ca="1" si="17"/>
        <v>0</v>
      </c>
      <c r="I24" s="11">
        <f t="shared" ca="1" si="17"/>
        <v>0</v>
      </c>
      <c r="J24" s="11">
        <f t="shared" ca="1" si="17"/>
        <v>0</v>
      </c>
      <c r="K24" s="11">
        <f t="shared" ca="1" si="17"/>
        <v>0</v>
      </c>
      <c r="L24" s="11">
        <f t="shared" ca="1" si="17"/>
        <v>0</v>
      </c>
      <c r="M24" s="11">
        <f t="shared" ca="1" si="17"/>
        <v>0</v>
      </c>
      <c r="N24" s="11">
        <f t="shared" ca="1" si="17"/>
        <v>0</v>
      </c>
      <c r="P24" s="97" t="str">
        <f t="shared" ca="1" si="20"/>
        <v>NM</v>
      </c>
      <c r="Q24" s="13"/>
      <c r="R24" s="46">
        <f>+SUMIFS(Growth!13:13,Growth!$3:$3,Segments!R$3)</f>
        <v>0</v>
      </c>
      <c r="S24" s="46">
        <f>+SUMIFS(Growth!13:13,Growth!$3:$3,Segments!S$3)</f>
        <v>0</v>
      </c>
      <c r="T24" s="46">
        <f>+SUMIFS(Growth!13:13,Growth!$3:$3,Segments!T$3)</f>
        <v>0</v>
      </c>
      <c r="U24" s="46">
        <f>+SUMIFS(Growth!13:13,Growth!$3:$3,Segments!U$3)</f>
        <v>0</v>
      </c>
      <c r="V24" s="46">
        <f ca="1">+SUMIFS(Growth!13:13,Growth!$3:$3,Segments!V$3)</f>
        <v>0</v>
      </c>
      <c r="W24" s="46">
        <f ca="1">+SUMIFS(Growth!13:13,Growth!$3:$3,Segments!W$3)</f>
        <v>0</v>
      </c>
      <c r="X24" s="46">
        <f ca="1">+SUMIFS(Growth!13:13,Growth!$3:$3,Segments!X$3)</f>
        <v>0</v>
      </c>
      <c r="Y24" s="46">
        <f ca="1">+SUMIFS(Growth!13:13,Growth!$3:$3,Segments!Y$3)</f>
        <v>0</v>
      </c>
      <c r="Z24" s="46">
        <f ca="1">+SUMIFS(Growth!13:13,Growth!$3:$3,Segments!Z$3)</f>
        <v>0</v>
      </c>
      <c r="AA24" s="46">
        <f ca="1">+SUMIFS(Growth!13:13,Growth!$3:$3,Segments!AA$3)</f>
        <v>0</v>
      </c>
      <c r="AB24" s="46">
        <f ca="1">+SUMIFS(Growth!13:13,Growth!$3:$3,Segments!AB$3)</f>
        <v>0</v>
      </c>
      <c r="AC24" s="46">
        <f ca="1">+SUMIFS(Growth!13:13,Growth!$3:$3,Segments!AC$3)</f>
        <v>0</v>
      </c>
      <c r="AD24" s="46">
        <f ca="1">+SUMIFS(Growth!13:13,Growth!$3:$3,Segments!AD$3)</f>
        <v>0</v>
      </c>
      <c r="AE24" s="46">
        <f ca="1">+SUMIFS(Growth!13:13,Growth!$3:$3,Segments!AE$3)</f>
        <v>0</v>
      </c>
      <c r="AF24" s="46">
        <f ca="1">+SUMIFS(Growth!13:13,Growth!$3:$3,Segments!AF$3)</f>
        <v>0</v>
      </c>
      <c r="AG24" s="46">
        <f ca="1">+SUMIFS(Growth!13:13,Growth!$3:$3,Segments!AG$3)</f>
        <v>0</v>
      </c>
      <c r="AH24" s="46">
        <f ca="1">+SUMIFS(Growth!13:13,Growth!$3:$3,Segments!AH$3)</f>
        <v>0</v>
      </c>
      <c r="AI24" s="46">
        <f ca="1">+SUMIFS(Growth!13:13,Growth!$3:$3,Segments!AI$3)</f>
        <v>0</v>
      </c>
      <c r="AJ24" s="46">
        <f ca="1">+SUMIFS(Growth!13:13,Growth!$3:$3,Segments!AJ$3)</f>
        <v>0</v>
      </c>
      <c r="AK24" s="46">
        <f ca="1">+SUMIFS(Growth!13:13,Growth!$3:$3,Segments!AK$3)</f>
        <v>0</v>
      </c>
      <c r="AL24" s="46">
        <f ca="1">+SUMIFS(Growth!13:13,Growth!$3:$3,Segments!AL$3)</f>
        <v>0</v>
      </c>
      <c r="AM24" s="46">
        <f ca="1">+SUMIFS(Growth!13:13,Growth!$3:$3,Segments!AM$3)</f>
        <v>0</v>
      </c>
      <c r="AN24" s="46">
        <f ca="1">+SUMIFS(Growth!13:13,Growth!$3:$3,Segments!AN$3)</f>
        <v>0</v>
      </c>
      <c r="AO24" s="46">
        <f ca="1">+SUMIFS(Growth!13:13,Growth!$3:$3,Segments!AO$3)</f>
        <v>0</v>
      </c>
      <c r="AP24" s="46">
        <f ca="1">+SUMIFS(Growth!13:13,Growth!$3:$3,Segments!AP$3)</f>
        <v>0</v>
      </c>
      <c r="AQ24" s="46">
        <f ca="1">+SUMIFS(Growth!13:13,Growth!$3:$3,Segments!AQ$3)</f>
        <v>0</v>
      </c>
      <c r="AR24" s="46">
        <f ca="1">+SUMIFS(Growth!13:13,Growth!$3:$3,Segments!AR$3)</f>
        <v>0</v>
      </c>
      <c r="AS24" s="46">
        <f ca="1">+SUMIFS(Growth!13:13,Growth!$3:$3,Segments!AS$3)</f>
        <v>0</v>
      </c>
      <c r="AT24" s="46">
        <f ca="1">+SUMIFS(Growth!13:13,Growth!$3:$3,Segments!AT$3)</f>
        <v>0</v>
      </c>
      <c r="AU24" s="46">
        <f ca="1">+SUMIFS(Growth!13:13,Growth!$3:$3,Segments!AU$3)</f>
        <v>0</v>
      </c>
      <c r="AV24" s="46">
        <f ca="1">+SUMIFS(Growth!13:13,Growth!$3:$3,Segments!AV$3)</f>
        <v>0</v>
      </c>
      <c r="AW24" s="46">
        <f ca="1">+SUMIFS(Growth!13:13,Growth!$3:$3,Segments!AW$3)</f>
        <v>0</v>
      </c>
      <c r="AX24" s="46">
        <f ca="1">+SUMIFS(Growth!13:13,Growth!$3:$3,Segments!AX$3)</f>
        <v>0</v>
      </c>
      <c r="AY24" s="46">
        <f ca="1">+SUMIFS(Growth!13:13,Growth!$3:$3,Segments!AY$3)</f>
        <v>0</v>
      </c>
      <c r="AZ24" s="46">
        <f ca="1">+SUMIFS(Growth!13:13,Growth!$3:$3,Segments!AZ$3)</f>
        <v>0</v>
      </c>
      <c r="BA24" s="46">
        <f ca="1">+SUMIFS(Growth!13:13,Growth!$3:$3,Segments!BA$3)</f>
        <v>0</v>
      </c>
      <c r="BB24" s="8" t="s">
        <v>75</v>
      </c>
    </row>
    <row r="25" spans="2:54" x14ac:dyDescent="0.2">
      <c r="B25" s="19" t="s">
        <v>13</v>
      </c>
      <c r="C25" s="45" t="s">
        <v>201</v>
      </c>
      <c r="D25" s="2"/>
      <c r="E25" s="2"/>
      <c r="F25" s="11">
        <f t="shared" si="17"/>
        <v>0</v>
      </c>
      <c r="G25" s="11">
        <f t="shared" ca="1" si="17"/>
        <v>0</v>
      </c>
      <c r="H25" s="11">
        <f t="shared" ca="1" si="17"/>
        <v>0</v>
      </c>
      <c r="I25" s="11">
        <f t="shared" ca="1" si="17"/>
        <v>0</v>
      </c>
      <c r="J25" s="11">
        <f t="shared" ca="1" si="17"/>
        <v>0</v>
      </c>
      <c r="K25" s="11">
        <f t="shared" ca="1" si="17"/>
        <v>0</v>
      </c>
      <c r="L25" s="11">
        <f t="shared" ca="1" si="17"/>
        <v>0</v>
      </c>
      <c r="M25" s="11">
        <f t="shared" ca="1" si="17"/>
        <v>0</v>
      </c>
      <c r="N25" s="11">
        <f t="shared" ca="1" si="17"/>
        <v>0</v>
      </c>
      <c r="P25" s="97" t="str">
        <f t="shared" ca="1" si="20"/>
        <v>NM</v>
      </c>
      <c r="Q25" s="13"/>
      <c r="R25" s="46">
        <f>+SUMIFS(Growth!20:20,Growth!$3:$3,Segments!R$3)</f>
        <v>0</v>
      </c>
      <c r="S25" s="46">
        <f>+SUMIFS(Growth!20:20,Growth!$3:$3,Segments!S$3)</f>
        <v>0</v>
      </c>
      <c r="T25" s="46">
        <f>+SUMIFS(Growth!20:20,Growth!$3:$3,Segments!T$3)</f>
        <v>0</v>
      </c>
      <c r="U25" s="46">
        <f>+SUMIFS(Growth!20:20,Growth!$3:$3,Segments!U$3)</f>
        <v>0</v>
      </c>
      <c r="V25" s="46">
        <f ca="1">+SUMIFS(Growth!20:20,Growth!$3:$3,Segments!V$3)</f>
        <v>0</v>
      </c>
      <c r="W25" s="46">
        <f ca="1">+SUMIFS(Growth!20:20,Growth!$3:$3,Segments!W$3)</f>
        <v>0</v>
      </c>
      <c r="X25" s="46">
        <f ca="1">+SUMIFS(Growth!20:20,Growth!$3:$3,Segments!X$3)</f>
        <v>0</v>
      </c>
      <c r="Y25" s="46">
        <f ca="1">+SUMIFS(Growth!20:20,Growth!$3:$3,Segments!Y$3)</f>
        <v>0</v>
      </c>
      <c r="Z25" s="46">
        <f ca="1">+SUMIFS(Growth!20:20,Growth!$3:$3,Segments!Z$3)</f>
        <v>0</v>
      </c>
      <c r="AA25" s="46">
        <f ca="1">+SUMIFS(Growth!20:20,Growth!$3:$3,Segments!AA$3)</f>
        <v>0</v>
      </c>
      <c r="AB25" s="46">
        <f ca="1">+SUMIFS(Growth!20:20,Growth!$3:$3,Segments!AB$3)</f>
        <v>0</v>
      </c>
      <c r="AC25" s="46">
        <f ca="1">+SUMIFS(Growth!20:20,Growth!$3:$3,Segments!AC$3)</f>
        <v>0</v>
      </c>
      <c r="AD25" s="46">
        <f ca="1">+SUMIFS(Growth!20:20,Growth!$3:$3,Segments!AD$3)</f>
        <v>0</v>
      </c>
      <c r="AE25" s="46">
        <f ca="1">+SUMIFS(Growth!20:20,Growth!$3:$3,Segments!AE$3)</f>
        <v>0</v>
      </c>
      <c r="AF25" s="46">
        <f ca="1">+SUMIFS(Growth!20:20,Growth!$3:$3,Segments!AF$3)</f>
        <v>0</v>
      </c>
      <c r="AG25" s="46">
        <f ca="1">+SUMIFS(Growth!20:20,Growth!$3:$3,Segments!AG$3)</f>
        <v>0</v>
      </c>
      <c r="AH25" s="46">
        <f ca="1">+SUMIFS(Growth!20:20,Growth!$3:$3,Segments!AH$3)</f>
        <v>0</v>
      </c>
      <c r="AI25" s="46">
        <f ca="1">+SUMIFS(Growth!20:20,Growth!$3:$3,Segments!AI$3)</f>
        <v>0</v>
      </c>
      <c r="AJ25" s="46">
        <f ca="1">+SUMIFS(Growth!20:20,Growth!$3:$3,Segments!AJ$3)</f>
        <v>0</v>
      </c>
      <c r="AK25" s="46">
        <f ca="1">+SUMIFS(Growth!20:20,Growth!$3:$3,Segments!AK$3)</f>
        <v>0</v>
      </c>
      <c r="AL25" s="46">
        <f ca="1">+SUMIFS(Growth!20:20,Growth!$3:$3,Segments!AL$3)</f>
        <v>0</v>
      </c>
      <c r="AM25" s="46">
        <f ca="1">+SUMIFS(Growth!20:20,Growth!$3:$3,Segments!AM$3)</f>
        <v>0</v>
      </c>
      <c r="AN25" s="46">
        <f ca="1">+SUMIFS(Growth!20:20,Growth!$3:$3,Segments!AN$3)</f>
        <v>0</v>
      </c>
      <c r="AO25" s="46">
        <f ca="1">+SUMIFS(Growth!20:20,Growth!$3:$3,Segments!AO$3)</f>
        <v>0</v>
      </c>
      <c r="AP25" s="46">
        <f ca="1">+SUMIFS(Growth!20:20,Growth!$3:$3,Segments!AP$3)</f>
        <v>0</v>
      </c>
      <c r="AQ25" s="46">
        <f ca="1">+SUMIFS(Growth!20:20,Growth!$3:$3,Segments!AQ$3)</f>
        <v>0</v>
      </c>
      <c r="AR25" s="46">
        <f ca="1">+SUMIFS(Growth!20:20,Growth!$3:$3,Segments!AR$3)</f>
        <v>0</v>
      </c>
      <c r="AS25" s="46">
        <f ca="1">+SUMIFS(Growth!20:20,Growth!$3:$3,Segments!AS$3)</f>
        <v>0</v>
      </c>
      <c r="AT25" s="46">
        <f ca="1">+SUMIFS(Growth!20:20,Growth!$3:$3,Segments!AT$3)</f>
        <v>0</v>
      </c>
      <c r="AU25" s="46">
        <f ca="1">+SUMIFS(Growth!20:20,Growth!$3:$3,Segments!AU$3)</f>
        <v>0</v>
      </c>
      <c r="AV25" s="46">
        <f ca="1">+SUMIFS(Growth!20:20,Growth!$3:$3,Segments!AV$3)</f>
        <v>0</v>
      </c>
      <c r="AW25" s="46">
        <f ca="1">+SUMIFS(Growth!20:20,Growth!$3:$3,Segments!AW$3)</f>
        <v>0</v>
      </c>
      <c r="AX25" s="46">
        <f ca="1">+SUMIFS(Growth!20:20,Growth!$3:$3,Segments!AX$3)</f>
        <v>0</v>
      </c>
      <c r="AY25" s="46">
        <f ca="1">+SUMIFS(Growth!20:20,Growth!$3:$3,Segments!AY$3)</f>
        <v>0</v>
      </c>
      <c r="AZ25" s="46">
        <f ca="1">+SUMIFS(Growth!20:20,Growth!$3:$3,Segments!AZ$3)</f>
        <v>0</v>
      </c>
      <c r="BA25" s="46">
        <f ca="1">+SUMIFS(Growth!20:20,Growth!$3:$3,Segments!BA$3)</f>
        <v>0</v>
      </c>
      <c r="BB25" s="8" t="s">
        <v>75</v>
      </c>
    </row>
    <row r="26" spans="2:54" x14ac:dyDescent="0.2">
      <c r="B26" s="19" t="s">
        <v>15</v>
      </c>
      <c r="C26" s="45" t="s">
        <v>201</v>
      </c>
      <c r="D26" s="2"/>
      <c r="E26" s="2"/>
      <c r="F26" s="11">
        <f t="shared" si="17"/>
        <v>0</v>
      </c>
      <c r="G26" s="11">
        <f t="shared" ca="1" si="17"/>
        <v>0</v>
      </c>
      <c r="H26" s="11">
        <f t="shared" ca="1" si="17"/>
        <v>0</v>
      </c>
      <c r="I26" s="11">
        <f t="shared" ca="1" si="17"/>
        <v>0</v>
      </c>
      <c r="J26" s="11">
        <f t="shared" ca="1" si="17"/>
        <v>0</v>
      </c>
      <c r="K26" s="11">
        <f t="shared" ca="1" si="17"/>
        <v>0</v>
      </c>
      <c r="L26" s="11">
        <f t="shared" ca="1" si="17"/>
        <v>0</v>
      </c>
      <c r="M26" s="11">
        <f t="shared" ca="1" si="17"/>
        <v>0</v>
      </c>
      <c r="N26" s="11">
        <f t="shared" ca="1" si="17"/>
        <v>0</v>
      </c>
      <c r="P26" s="97" t="str">
        <f t="shared" ref="P26" ca="1" si="22">+IFERROR((N26/I26)^(1/5)-1,"NM")</f>
        <v>NM</v>
      </c>
      <c r="Q26" s="13"/>
      <c r="R26" s="46">
        <f>+SUMIFS(Growth!21:21,Growth!$3:$3,Segments!R$3)</f>
        <v>0</v>
      </c>
      <c r="S26" s="46">
        <f>+SUMIFS(Growth!21:21,Growth!$3:$3,Segments!S$3)</f>
        <v>0</v>
      </c>
      <c r="T26" s="46">
        <f>+SUMIFS(Growth!21:21,Growth!$3:$3,Segments!T$3)</f>
        <v>0</v>
      </c>
      <c r="U26" s="46">
        <f>+SUMIFS(Growth!21:21,Growth!$3:$3,Segments!U$3)</f>
        <v>0</v>
      </c>
      <c r="V26" s="46">
        <f ca="1">+SUMIFS(Growth!21:21,Growth!$3:$3,Segments!V$3)</f>
        <v>0</v>
      </c>
      <c r="W26" s="46">
        <f ca="1">+SUMIFS(Growth!21:21,Growth!$3:$3,Segments!W$3)</f>
        <v>0</v>
      </c>
      <c r="X26" s="46">
        <f ca="1">+SUMIFS(Growth!21:21,Growth!$3:$3,Segments!X$3)</f>
        <v>0</v>
      </c>
      <c r="Y26" s="46">
        <f ca="1">+SUMIFS(Growth!21:21,Growth!$3:$3,Segments!Y$3)</f>
        <v>0</v>
      </c>
      <c r="Z26" s="46">
        <f ca="1">+SUMIFS(Growth!21:21,Growth!$3:$3,Segments!Z$3)</f>
        <v>0</v>
      </c>
      <c r="AA26" s="46">
        <f ca="1">+SUMIFS(Growth!21:21,Growth!$3:$3,Segments!AA$3)</f>
        <v>0</v>
      </c>
      <c r="AB26" s="46">
        <f ca="1">+SUMIFS(Growth!21:21,Growth!$3:$3,Segments!AB$3)</f>
        <v>0</v>
      </c>
      <c r="AC26" s="46">
        <f ca="1">+SUMIFS(Growth!21:21,Growth!$3:$3,Segments!AC$3)</f>
        <v>0</v>
      </c>
      <c r="AD26" s="46">
        <f ca="1">+SUMIFS(Growth!21:21,Growth!$3:$3,Segments!AD$3)</f>
        <v>0</v>
      </c>
      <c r="AE26" s="46">
        <f ca="1">+SUMIFS(Growth!21:21,Growth!$3:$3,Segments!AE$3)</f>
        <v>0</v>
      </c>
      <c r="AF26" s="46">
        <f ca="1">+SUMIFS(Growth!21:21,Growth!$3:$3,Segments!AF$3)</f>
        <v>0</v>
      </c>
      <c r="AG26" s="46">
        <f ca="1">+SUMIFS(Growth!21:21,Growth!$3:$3,Segments!AG$3)</f>
        <v>0</v>
      </c>
      <c r="AH26" s="46">
        <f ca="1">+SUMIFS(Growth!21:21,Growth!$3:$3,Segments!AH$3)</f>
        <v>0</v>
      </c>
      <c r="AI26" s="46">
        <f ca="1">+SUMIFS(Growth!21:21,Growth!$3:$3,Segments!AI$3)</f>
        <v>0</v>
      </c>
      <c r="AJ26" s="46">
        <f ca="1">+SUMIFS(Growth!21:21,Growth!$3:$3,Segments!AJ$3)</f>
        <v>0</v>
      </c>
      <c r="AK26" s="46">
        <f ca="1">+SUMIFS(Growth!21:21,Growth!$3:$3,Segments!AK$3)</f>
        <v>0</v>
      </c>
      <c r="AL26" s="46">
        <f ca="1">+SUMIFS(Growth!21:21,Growth!$3:$3,Segments!AL$3)</f>
        <v>0</v>
      </c>
      <c r="AM26" s="46">
        <f ca="1">+SUMIFS(Growth!21:21,Growth!$3:$3,Segments!AM$3)</f>
        <v>0</v>
      </c>
      <c r="AN26" s="46">
        <f ca="1">+SUMIFS(Growth!21:21,Growth!$3:$3,Segments!AN$3)</f>
        <v>0</v>
      </c>
      <c r="AO26" s="46">
        <f ca="1">+SUMIFS(Growth!21:21,Growth!$3:$3,Segments!AO$3)</f>
        <v>0</v>
      </c>
      <c r="AP26" s="46">
        <f ca="1">+SUMIFS(Growth!21:21,Growth!$3:$3,Segments!AP$3)</f>
        <v>0</v>
      </c>
      <c r="AQ26" s="46">
        <f ca="1">+SUMIFS(Growth!21:21,Growth!$3:$3,Segments!AQ$3)</f>
        <v>0</v>
      </c>
      <c r="AR26" s="46">
        <f ca="1">+SUMIFS(Growth!21:21,Growth!$3:$3,Segments!AR$3)</f>
        <v>0</v>
      </c>
      <c r="AS26" s="46">
        <f ca="1">+SUMIFS(Growth!21:21,Growth!$3:$3,Segments!AS$3)</f>
        <v>0</v>
      </c>
      <c r="AT26" s="46">
        <f ca="1">+SUMIFS(Growth!21:21,Growth!$3:$3,Segments!AT$3)</f>
        <v>0</v>
      </c>
      <c r="AU26" s="46">
        <f ca="1">+SUMIFS(Growth!21:21,Growth!$3:$3,Segments!AU$3)</f>
        <v>0</v>
      </c>
      <c r="AV26" s="46">
        <f ca="1">+SUMIFS(Growth!21:21,Growth!$3:$3,Segments!AV$3)</f>
        <v>0</v>
      </c>
      <c r="AW26" s="46">
        <f ca="1">+SUMIFS(Growth!21:21,Growth!$3:$3,Segments!AW$3)</f>
        <v>0</v>
      </c>
      <c r="AX26" s="46">
        <f ca="1">+SUMIFS(Growth!21:21,Growth!$3:$3,Segments!AX$3)</f>
        <v>0</v>
      </c>
      <c r="AY26" s="46">
        <f ca="1">+SUMIFS(Growth!21:21,Growth!$3:$3,Segments!AY$3)</f>
        <v>0</v>
      </c>
      <c r="AZ26" s="46">
        <f ca="1">+SUMIFS(Growth!21:21,Growth!$3:$3,Segments!AZ$3)</f>
        <v>0</v>
      </c>
      <c r="BA26" s="46">
        <f ca="1">+SUMIFS(Growth!21:21,Growth!$3:$3,Segments!BA$3)</f>
        <v>0</v>
      </c>
      <c r="BB26" s="8" t="s">
        <v>75</v>
      </c>
    </row>
    <row r="27" spans="2:54" s="2" customFormat="1" x14ac:dyDescent="0.2">
      <c r="B27" s="2" t="s">
        <v>17</v>
      </c>
      <c r="C27" s="45" t="s">
        <v>201</v>
      </c>
      <c r="F27" s="13">
        <f t="shared" ref="F27:N27" si="23">+SUMIFS(27:27,$6:$6,F$3)</f>
        <v>8474.9135500000011</v>
      </c>
      <c r="G27" s="13">
        <f t="shared" ca="1" si="23"/>
        <v>10190.4081554</v>
      </c>
      <c r="H27" s="13">
        <f t="shared" ca="1" si="23"/>
        <v>12206.988066081632</v>
      </c>
      <c r="I27" s="13">
        <f t="shared" ca="1" si="23"/>
        <v>13290.571998966234</v>
      </c>
      <c r="J27" s="13">
        <f t="shared" ca="1" si="23"/>
        <v>15577.659829611972</v>
      </c>
      <c r="K27" s="13">
        <f t="shared" ca="1" si="23"/>
        <v>16426.477444670803</v>
      </c>
      <c r="L27" s="13">
        <f t="shared" ca="1" si="23"/>
        <v>17330.741807689286</v>
      </c>
      <c r="M27" s="13">
        <f t="shared" ca="1" si="23"/>
        <v>18294.065516179369</v>
      </c>
      <c r="N27" s="13">
        <f t="shared" ca="1" si="23"/>
        <v>19264.59886907371</v>
      </c>
      <c r="P27" s="131">
        <f t="shared" ca="1" si="12"/>
        <v>7.7068338602926501E-2</v>
      </c>
      <c r="R27" s="13">
        <f>+R8+R12+R17+R20+R23</f>
        <v>1801.7338530000002</v>
      </c>
      <c r="S27" s="13">
        <f t="shared" ref="S27:BA27" si="24">+S8+S12+S17+S20+S23</f>
        <v>2212.7556639999998</v>
      </c>
      <c r="T27" s="13">
        <f t="shared" si="24"/>
        <v>2545.8641470000002</v>
      </c>
      <c r="U27" s="13">
        <f t="shared" si="24"/>
        <v>1914.559886</v>
      </c>
      <c r="V27" s="13">
        <f t="shared" ca="1" si="24"/>
        <v>2239.1546070000004</v>
      </c>
      <c r="W27" s="13">
        <f t="shared" ca="1" si="24"/>
        <v>2583.5016109999997</v>
      </c>
      <c r="X27" s="13">
        <f t="shared" ca="1" si="24"/>
        <v>3243.051007</v>
      </c>
      <c r="Y27" s="13">
        <f t="shared" ca="1" si="24"/>
        <v>2124.7009303999998</v>
      </c>
      <c r="Z27" s="13">
        <f t="shared" ca="1" si="24"/>
        <v>2910.2775070816328</v>
      </c>
      <c r="AA27" s="13">
        <f t="shared" ca="1" si="24"/>
        <v>3686.3905589999999</v>
      </c>
      <c r="AB27" s="13">
        <f t="shared" ca="1" si="24"/>
        <v>3811.7689829999999</v>
      </c>
      <c r="AC27" s="13">
        <f t="shared" ca="1" si="24"/>
        <v>1798.551017</v>
      </c>
      <c r="AD27" s="13">
        <f t="shared" ca="1" si="24"/>
        <v>3321.2121873401411</v>
      </c>
      <c r="AE27" s="13">
        <f t="shared" ca="1" si="24"/>
        <v>4011.551689585689</v>
      </c>
      <c r="AF27" s="13">
        <f t="shared" ca="1" si="24"/>
        <v>4041.5688077102868</v>
      </c>
      <c r="AG27" s="13">
        <f t="shared" ca="1" si="24"/>
        <v>1916.2393143301174</v>
      </c>
      <c r="AH27" s="13">
        <f t="shared" ca="1" si="24"/>
        <v>3880.6060707249617</v>
      </c>
      <c r="AI27" s="13">
        <f t="shared" ca="1" si="24"/>
        <v>4624.6429417281506</v>
      </c>
      <c r="AJ27" s="13">
        <f t="shared" ca="1" si="24"/>
        <v>4658.1467832883936</v>
      </c>
      <c r="AK27" s="13">
        <f t="shared" ca="1" si="24"/>
        <v>2414.2640338704664</v>
      </c>
      <c r="AL27" s="13">
        <f t="shared" ca="1" si="24"/>
        <v>4079.2313926574566</v>
      </c>
      <c r="AM27" s="13">
        <f t="shared" ca="1" si="24"/>
        <v>4878.8733239386656</v>
      </c>
      <c r="AN27" s="13">
        <f t="shared" ca="1" si="24"/>
        <v>4917.3770227269933</v>
      </c>
      <c r="AO27" s="13">
        <f t="shared" ca="1" si="24"/>
        <v>2550.9957053476874</v>
      </c>
      <c r="AP27" s="13">
        <f t="shared" ca="1" si="24"/>
        <v>4290.4528195902822</v>
      </c>
      <c r="AQ27" s="13">
        <f t="shared" ca="1" si="24"/>
        <v>5150.0426786826665</v>
      </c>
      <c r="AR27" s="13">
        <f t="shared" ca="1" si="24"/>
        <v>5193.7546144658399</v>
      </c>
      <c r="AS27" s="13">
        <f t="shared" ca="1" si="24"/>
        <v>2696.4916949505005</v>
      </c>
      <c r="AT27" s="13">
        <f t="shared" ca="1" si="24"/>
        <v>4515.082405251469</v>
      </c>
      <c r="AU27" s="13">
        <f t="shared" ca="1" si="24"/>
        <v>5439.2637172206687</v>
      </c>
      <c r="AV27" s="13">
        <f t="shared" ca="1" si="24"/>
        <v>5488.4037045987989</v>
      </c>
      <c r="AW27" s="13">
        <f t="shared" ca="1" si="24"/>
        <v>2851.3156891084341</v>
      </c>
      <c r="AX27" s="13">
        <f t="shared" ca="1" si="24"/>
        <v>4741.551742941534</v>
      </c>
      <c r="AY27" s="13">
        <f t="shared" ca="1" si="24"/>
        <v>5730.4405684897738</v>
      </c>
      <c r="AZ27" s="13">
        <f t="shared" ca="1" si="24"/>
        <v>5785.0739901912666</v>
      </c>
      <c r="BA27" s="13">
        <f t="shared" ca="1" si="24"/>
        <v>3007.5325674511373</v>
      </c>
      <c r="BB27" s="83" t="s">
        <v>75</v>
      </c>
    </row>
    <row r="28" spans="2:54" s="2" customFormat="1" x14ac:dyDescent="0.2">
      <c r="C28" s="45"/>
      <c r="F28" s="13"/>
      <c r="G28" s="13"/>
      <c r="H28" s="13"/>
      <c r="I28" s="13"/>
      <c r="J28" s="13"/>
      <c r="K28" s="13"/>
      <c r="L28" s="13"/>
      <c r="M28" s="13"/>
      <c r="N28" s="13"/>
      <c r="P28" s="131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83" t="s">
        <v>75</v>
      </c>
    </row>
    <row r="29" spans="2:54" s="2" customFormat="1" x14ac:dyDescent="0.2">
      <c r="B29" s="1" t="s">
        <v>450</v>
      </c>
      <c r="C29" s="45" t="s">
        <v>201</v>
      </c>
      <c r="F29" s="11">
        <f t="shared" ref="F29:N29" si="25">+(F9+F10+F14+F15+F21)+F24</f>
        <v>4404.1665480000011</v>
      </c>
      <c r="G29" s="11">
        <f t="shared" ca="1" si="25"/>
        <v>5000.8176504000003</v>
      </c>
      <c r="H29" s="11">
        <f t="shared" ca="1" si="25"/>
        <v>7216.9362099999998</v>
      </c>
      <c r="I29" s="11">
        <f t="shared" ca="1" si="25"/>
        <v>8142.8609349305198</v>
      </c>
      <c r="J29" s="11">
        <f t="shared" ca="1" si="25"/>
        <v>8848.386533766472</v>
      </c>
      <c r="K29" s="11">
        <f t="shared" ca="1" si="25"/>
        <v>9572.338643430805</v>
      </c>
      <c r="L29" s="11">
        <f t="shared" ca="1" si="25"/>
        <v>10348.838091944792</v>
      </c>
      <c r="M29" s="11">
        <f t="shared" ca="1" si="25"/>
        <v>11181.426208058734</v>
      </c>
      <c r="N29" s="11">
        <f t="shared" ca="1" si="25"/>
        <v>12018.180187272912</v>
      </c>
      <c r="P29" s="97">
        <f t="shared" ca="1" si="12"/>
        <v>8.0966757849497473E-2</v>
      </c>
      <c r="R29" s="13"/>
      <c r="S29" s="13"/>
      <c r="T29" s="13"/>
      <c r="U29" s="13"/>
      <c r="V29" s="11">
        <f ca="1">+(V9+V10+V14+V15+V21)+V24</f>
        <v>1159.938189</v>
      </c>
      <c r="W29" s="11">
        <f t="shared" ref="W29:BA29" ca="1" si="26">+(W9+W10+W14+W15+W21)+W24</f>
        <v>1294.8107779999998</v>
      </c>
      <c r="X29" s="11">
        <f t="shared" ca="1" si="26"/>
        <v>1719.7840410000001</v>
      </c>
      <c r="Y29" s="11">
        <f t="shared" ca="1" si="26"/>
        <v>826.28464240000005</v>
      </c>
      <c r="Z29" s="11">
        <f t="shared" ca="1" si="26"/>
        <v>1473.2598460000006</v>
      </c>
      <c r="AA29" s="11">
        <f t="shared" ca="1" si="26"/>
        <v>2236.9105589999999</v>
      </c>
      <c r="AB29" s="11">
        <f t="shared" ca="1" si="26"/>
        <v>2295.8976129999996</v>
      </c>
      <c r="AC29" s="11">
        <f t="shared" ca="1" si="26"/>
        <v>1210.8681920000004</v>
      </c>
      <c r="AD29" s="11">
        <f t="shared" ca="1" si="26"/>
        <v>1841.7734258544269</v>
      </c>
      <c r="AE29" s="11">
        <f t="shared" ca="1" si="26"/>
        <v>2512.4606617856889</v>
      </c>
      <c r="AF29" s="11">
        <f t="shared" ca="1" si="26"/>
        <v>2474.7048402102864</v>
      </c>
      <c r="AG29" s="11">
        <f t="shared" ca="1" si="26"/>
        <v>1313.9220070801175</v>
      </c>
      <c r="AH29" s="11">
        <f t="shared" ca="1" si="26"/>
        <v>2000.2666503129619</v>
      </c>
      <c r="AI29" s="11">
        <f t="shared" ca="1" si="26"/>
        <v>2731.2024261821507</v>
      </c>
      <c r="AJ29" s="11">
        <f t="shared" ca="1" si="26"/>
        <v>2692.4556088333939</v>
      </c>
      <c r="AK29" s="11">
        <f t="shared" ca="1" si="26"/>
        <v>1424.4618484379666</v>
      </c>
      <c r="AL29" s="11">
        <f t="shared" ca="1" si="26"/>
        <v>2162.8477467603161</v>
      </c>
      <c r="AM29" s="11">
        <f t="shared" ca="1" si="26"/>
        <v>2954.5363721759959</v>
      </c>
      <c r="AN29" s="11">
        <f t="shared" ca="1" si="26"/>
        <v>2916.316827089518</v>
      </c>
      <c r="AO29" s="11">
        <f t="shared" ca="1" si="26"/>
        <v>1538.6376974049747</v>
      </c>
      <c r="AP29" s="11">
        <f t="shared" ca="1" si="26"/>
        <v>2337.197357957752</v>
      </c>
      <c r="AQ29" s="11">
        <f t="shared" ca="1" si="26"/>
        <v>3194.1041768546252</v>
      </c>
      <c r="AR29" s="11">
        <f t="shared" ca="1" si="26"/>
        <v>3156.527802577531</v>
      </c>
      <c r="AS29" s="11">
        <f t="shared" ca="1" si="26"/>
        <v>1661.0087545548822</v>
      </c>
      <c r="AT29" s="11">
        <f t="shared" ca="1" si="26"/>
        <v>2524.1075406824179</v>
      </c>
      <c r="AU29" s="11">
        <f t="shared" ca="1" si="26"/>
        <v>3451.0013222087014</v>
      </c>
      <c r="AV29" s="11">
        <f t="shared" ca="1" si="26"/>
        <v>3414.1935644717887</v>
      </c>
      <c r="AW29" s="11">
        <f t="shared" ca="1" si="26"/>
        <v>1792.1237806958261</v>
      </c>
      <c r="AX29" s="11">
        <f t="shared" ca="1" si="26"/>
        <v>2711.9893861912642</v>
      </c>
      <c r="AY29" s="11">
        <f t="shared" ca="1" si="26"/>
        <v>3709.1142644216116</v>
      </c>
      <c r="AZ29" s="11">
        <f t="shared" ca="1" si="26"/>
        <v>3673.0442111078141</v>
      </c>
      <c r="BA29" s="11">
        <f t="shared" ca="1" si="26"/>
        <v>1924.0323255522212</v>
      </c>
      <c r="BB29" s="83" t="s">
        <v>75</v>
      </c>
    </row>
    <row r="30" spans="2:54" s="2" customFormat="1" x14ac:dyDescent="0.2">
      <c r="B30" s="1" t="s">
        <v>13</v>
      </c>
      <c r="C30" s="45" t="s">
        <v>201</v>
      </c>
      <c r="F30" s="11">
        <f t="shared" ref="F30:N30" si="27">+F13+F25</f>
        <v>674.13200000000006</v>
      </c>
      <c r="G30" s="11">
        <f t="shared" ca="1" si="27"/>
        <v>424.44200000000001</v>
      </c>
      <c r="H30" s="11">
        <f t="shared" ca="1" si="27"/>
        <v>561.40300000000002</v>
      </c>
      <c r="I30" s="11">
        <f t="shared" ca="1" si="27"/>
        <v>645.61344999999994</v>
      </c>
      <c r="J30" s="11">
        <f t="shared" ca="1" si="27"/>
        <v>652.06958450000002</v>
      </c>
      <c r="K30" s="11">
        <f t="shared" ca="1" si="27"/>
        <v>658.590280345</v>
      </c>
      <c r="L30" s="11">
        <f t="shared" ca="1" si="27"/>
        <v>665.17618314844992</v>
      </c>
      <c r="M30" s="11">
        <f t="shared" ca="1" si="27"/>
        <v>671.8279449799345</v>
      </c>
      <c r="N30" s="11">
        <f t="shared" ca="1" si="27"/>
        <v>678.5462244297338</v>
      </c>
      <c r="P30" s="97">
        <f t="shared" ca="1" si="12"/>
        <v>1.0000000000000009E-2</v>
      </c>
      <c r="R30" s="13"/>
      <c r="S30" s="13"/>
      <c r="T30" s="13"/>
      <c r="U30" s="13"/>
      <c r="V30" s="11">
        <f ca="1">+V13+V25</f>
        <v>118.34</v>
      </c>
      <c r="W30" s="11">
        <f t="shared" ref="W30:BA30" ca="1" si="28">+W13+W25</f>
        <v>166.41399999999999</v>
      </c>
      <c r="X30" s="11">
        <f t="shared" ca="1" si="28"/>
        <v>139.68799999999999</v>
      </c>
      <c r="Y30" s="11">
        <f t="shared" ca="1" si="28"/>
        <v>0</v>
      </c>
      <c r="Z30" s="11">
        <f t="shared" ca="1" si="28"/>
        <v>123.405</v>
      </c>
      <c r="AA30" s="11">
        <f t="shared" ca="1" si="28"/>
        <v>220.90100000000001</v>
      </c>
      <c r="AB30" s="11">
        <f t="shared" ca="1" si="28"/>
        <v>199.255</v>
      </c>
      <c r="AC30" s="11">
        <f t="shared" ca="1" si="28"/>
        <v>17.841999999999999</v>
      </c>
      <c r="AD30" s="11">
        <f t="shared" ca="1" si="28"/>
        <v>141.91575</v>
      </c>
      <c r="AE30" s="11">
        <f t="shared" ca="1" si="28"/>
        <v>254.03614999999999</v>
      </c>
      <c r="AF30" s="11">
        <f t="shared" ca="1" si="28"/>
        <v>229.14324999999997</v>
      </c>
      <c r="AG30" s="11">
        <f t="shared" ca="1" si="28"/>
        <v>20.518299999999996</v>
      </c>
      <c r="AH30" s="11">
        <f t="shared" ca="1" si="28"/>
        <v>143.33490750000001</v>
      </c>
      <c r="AI30" s="11">
        <f t="shared" ca="1" si="28"/>
        <v>256.57651149999998</v>
      </c>
      <c r="AJ30" s="11">
        <f t="shared" ca="1" si="28"/>
        <v>231.43468249999998</v>
      </c>
      <c r="AK30" s="11">
        <f t="shared" ca="1" si="28"/>
        <v>20.723482999999998</v>
      </c>
      <c r="AL30" s="11">
        <f t="shared" ca="1" si="28"/>
        <v>144.76825657500001</v>
      </c>
      <c r="AM30" s="11">
        <f t="shared" ca="1" si="28"/>
        <v>259.14227661499996</v>
      </c>
      <c r="AN30" s="11">
        <f t="shared" ca="1" si="28"/>
        <v>233.74902932499998</v>
      </c>
      <c r="AO30" s="11">
        <f t="shared" ca="1" si="28"/>
        <v>20.930717829999999</v>
      </c>
      <c r="AP30" s="11">
        <f t="shared" ca="1" si="28"/>
        <v>146.21593914075001</v>
      </c>
      <c r="AQ30" s="11">
        <f t="shared" ca="1" si="28"/>
        <v>261.73369938114996</v>
      </c>
      <c r="AR30" s="11">
        <f t="shared" ca="1" si="28"/>
        <v>236.08651961824998</v>
      </c>
      <c r="AS30" s="11">
        <f t="shared" ca="1" si="28"/>
        <v>21.1400250083</v>
      </c>
      <c r="AT30" s="11">
        <f t="shared" ca="1" si="28"/>
        <v>147.67809853215752</v>
      </c>
      <c r="AU30" s="11">
        <f t="shared" ca="1" si="28"/>
        <v>264.35103637496144</v>
      </c>
      <c r="AV30" s="11">
        <f t="shared" ca="1" si="28"/>
        <v>238.4473848144325</v>
      </c>
      <c r="AW30" s="11">
        <f t="shared" ca="1" si="28"/>
        <v>21.351425258382999</v>
      </c>
      <c r="AX30" s="11">
        <f t="shared" ca="1" si="28"/>
        <v>149.15487951747909</v>
      </c>
      <c r="AY30" s="11">
        <f t="shared" ca="1" si="28"/>
        <v>266.99454673871105</v>
      </c>
      <c r="AZ30" s="11">
        <f t="shared" ca="1" si="28"/>
        <v>240.83185866257682</v>
      </c>
      <c r="BA30" s="11">
        <f t="shared" ca="1" si="28"/>
        <v>21.56493951096683</v>
      </c>
      <c r="BB30" s="83" t="s">
        <v>75</v>
      </c>
    </row>
    <row r="31" spans="2:54" s="2" customFormat="1" x14ac:dyDescent="0.2">
      <c r="B31" s="1" t="s">
        <v>15</v>
      </c>
      <c r="C31" s="45" t="s">
        <v>201</v>
      </c>
      <c r="F31" s="11">
        <f t="shared" ref="F31:N31" si="29">+F18+F26</f>
        <v>2377.1930000000002</v>
      </c>
      <c r="G31" s="11">
        <f t="shared" ca="1" si="29"/>
        <v>3200.4921899999999</v>
      </c>
      <c r="H31" s="11">
        <f t="shared" ca="1" si="29"/>
        <v>3358.49757</v>
      </c>
      <c r="I31" s="11">
        <f t="shared" ca="1" si="29"/>
        <v>3425.6675213999997</v>
      </c>
      <c r="J31" s="11">
        <f t="shared" ca="1" si="29"/>
        <v>3494.1808718279999</v>
      </c>
      <c r="K31" s="11">
        <f t="shared" ca="1" si="29"/>
        <v>3564.0644892645601</v>
      </c>
      <c r="L31" s="11">
        <f t="shared" ca="1" si="29"/>
        <v>3635.3457790498514</v>
      </c>
      <c r="M31" s="11">
        <f t="shared" ca="1" si="29"/>
        <v>3708.0526946308482</v>
      </c>
      <c r="N31" s="11">
        <f t="shared" ca="1" si="29"/>
        <v>3782.2137485234653</v>
      </c>
      <c r="P31" s="97">
        <f t="shared" ca="1" si="12"/>
        <v>2.0000000000000018E-2</v>
      </c>
      <c r="R31" s="13"/>
      <c r="S31" s="13"/>
      <c r="T31" s="13"/>
      <c r="U31" s="13"/>
      <c r="V31" s="11">
        <f ca="1">+V18+V26</f>
        <v>521.1774200000001</v>
      </c>
      <c r="W31" s="11">
        <f t="shared" ref="W31:BA31" ca="1" si="30">+W18+W26</f>
        <v>744.81452999999999</v>
      </c>
      <c r="X31" s="11">
        <f t="shared" ca="1" si="30"/>
        <v>892.9700499999999</v>
      </c>
      <c r="Y31" s="11">
        <f t="shared" ca="1" si="30"/>
        <v>1041.5301899999999</v>
      </c>
      <c r="Z31" s="11">
        <f t="shared" ca="1" si="30"/>
        <v>1040.6108299999999</v>
      </c>
      <c r="AA31" s="11">
        <f t="shared" ca="1" si="30"/>
        <v>817.57574</v>
      </c>
      <c r="AB31" s="11">
        <f t="shared" ca="1" si="30"/>
        <v>1039.6507000000001</v>
      </c>
      <c r="AC31" s="11">
        <f t="shared" ca="1" si="30"/>
        <v>460.66030000000001</v>
      </c>
      <c r="AD31" s="11">
        <f t="shared" ca="1" si="30"/>
        <v>1061.4230465999999</v>
      </c>
      <c r="AE31" s="11">
        <f t="shared" ca="1" si="30"/>
        <v>833.92725480000001</v>
      </c>
      <c r="AF31" s="11">
        <f t="shared" ca="1" si="30"/>
        <v>1060.4437140000002</v>
      </c>
      <c r="AG31" s="11">
        <f t="shared" ca="1" si="30"/>
        <v>469.87350600000002</v>
      </c>
      <c r="AH31" s="11">
        <f t="shared" ca="1" si="30"/>
        <v>1082.6515075319999</v>
      </c>
      <c r="AI31" s="11">
        <f t="shared" ca="1" si="30"/>
        <v>850.60579989600001</v>
      </c>
      <c r="AJ31" s="11">
        <f t="shared" ca="1" si="30"/>
        <v>1081.6525882800001</v>
      </c>
      <c r="AK31" s="11">
        <f t="shared" ca="1" si="30"/>
        <v>479.27097612000006</v>
      </c>
      <c r="AL31" s="11">
        <f t="shared" ca="1" si="30"/>
        <v>1104.3045376826399</v>
      </c>
      <c r="AM31" s="11">
        <f t="shared" ca="1" si="30"/>
        <v>867.61791589391999</v>
      </c>
      <c r="AN31" s="11">
        <f t="shared" ca="1" si="30"/>
        <v>1103.2856400456001</v>
      </c>
      <c r="AO31" s="11">
        <f t="shared" ca="1" si="30"/>
        <v>488.85639564240006</v>
      </c>
      <c r="AP31" s="11">
        <f t="shared" ca="1" si="30"/>
        <v>1126.3906284362927</v>
      </c>
      <c r="AQ31" s="11">
        <f t="shared" ca="1" si="30"/>
        <v>884.97027421179837</v>
      </c>
      <c r="AR31" s="11">
        <f t="shared" ca="1" si="30"/>
        <v>1125.3513528465121</v>
      </c>
      <c r="AS31" s="11">
        <f t="shared" ca="1" si="30"/>
        <v>498.63352355524808</v>
      </c>
      <c r="AT31" s="11">
        <f t="shared" ca="1" si="30"/>
        <v>1148.9184410050186</v>
      </c>
      <c r="AU31" s="11">
        <f t="shared" ca="1" si="30"/>
        <v>902.66967969603434</v>
      </c>
      <c r="AV31" s="11">
        <f t="shared" ca="1" si="30"/>
        <v>1147.8583799034423</v>
      </c>
      <c r="AW31" s="11">
        <f t="shared" ca="1" si="30"/>
        <v>508.60619402635302</v>
      </c>
      <c r="AX31" s="11">
        <f t="shared" ca="1" si="30"/>
        <v>1171.8968098251189</v>
      </c>
      <c r="AY31" s="11">
        <f t="shared" ca="1" si="30"/>
        <v>920.7230732899551</v>
      </c>
      <c r="AZ31" s="11">
        <f t="shared" ca="1" si="30"/>
        <v>1170.8155475015112</v>
      </c>
      <c r="BA31" s="11">
        <f t="shared" ca="1" si="30"/>
        <v>518.77831790688015</v>
      </c>
      <c r="BB31" s="83" t="s">
        <v>75</v>
      </c>
    </row>
    <row r="32" spans="2:54" s="2" customFormat="1" x14ac:dyDescent="0.2">
      <c r="B32" s="1" t="s">
        <v>451</v>
      </c>
      <c r="C32" s="45" t="s">
        <v>201</v>
      </c>
      <c r="F32" s="11">
        <f t="shared" ref="F32:N32" si="31">+F27-F29-F30-F31</f>
        <v>1019.4220019999998</v>
      </c>
      <c r="G32" s="11">
        <f t="shared" ca="1" si="31"/>
        <v>1564.6563150000002</v>
      </c>
      <c r="H32" s="11">
        <f t="shared" ca="1" si="31"/>
        <v>1070.1512860816324</v>
      </c>
      <c r="I32" s="11">
        <f t="shared" ca="1" si="31"/>
        <v>1076.4300926357146</v>
      </c>
      <c r="J32" s="11">
        <f t="shared" ca="1" si="31"/>
        <v>2583.0228395175</v>
      </c>
      <c r="K32" s="11">
        <f t="shared" ca="1" si="31"/>
        <v>2631.4840316304385</v>
      </c>
      <c r="L32" s="11">
        <f t="shared" ca="1" si="31"/>
        <v>2681.3817535461931</v>
      </c>
      <c r="M32" s="11">
        <f t="shared" ca="1" si="31"/>
        <v>2732.7586685098522</v>
      </c>
      <c r="N32" s="11">
        <f t="shared" ca="1" si="31"/>
        <v>2785.658708847599</v>
      </c>
      <c r="P32" s="97">
        <f t="shared" ca="1" si="12"/>
        <v>0.20945138248431139</v>
      </c>
      <c r="R32" s="13"/>
      <c r="S32" s="13"/>
      <c r="T32" s="13"/>
      <c r="U32" s="13"/>
      <c r="V32" s="11">
        <f t="shared" ref="V32:BA32" ca="1" si="32">+V27-V29-V30-V31</f>
        <v>439.6989980000003</v>
      </c>
      <c r="W32" s="11">
        <f t="shared" ca="1" si="32"/>
        <v>377.46230299999991</v>
      </c>
      <c r="X32" s="11">
        <f t="shared" ca="1" si="32"/>
        <v>490.60891600000014</v>
      </c>
      <c r="Y32" s="11">
        <f t="shared" ca="1" si="32"/>
        <v>256.88609799999995</v>
      </c>
      <c r="Z32" s="11">
        <f t="shared" ca="1" si="32"/>
        <v>273.00183108163242</v>
      </c>
      <c r="AA32" s="11">
        <f t="shared" ca="1" si="32"/>
        <v>411.00325999999995</v>
      </c>
      <c r="AB32" s="11">
        <f t="shared" ca="1" si="32"/>
        <v>276.96567000000005</v>
      </c>
      <c r="AC32" s="11">
        <f t="shared" ca="1" si="32"/>
        <v>109.18052499999965</v>
      </c>
      <c r="AD32" s="11">
        <f t="shared" ca="1" si="32"/>
        <v>276.09996488571414</v>
      </c>
      <c r="AE32" s="11">
        <f t="shared" ca="1" si="32"/>
        <v>411.1276230000002</v>
      </c>
      <c r="AF32" s="11">
        <f t="shared" ca="1" si="32"/>
        <v>277.27700350000009</v>
      </c>
      <c r="AG32" s="11">
        <f t="shared" ca="1" si="32"/>
        <v>111.92550124999991</v>
      </c>
      <c r="AH32" s="11">
        <f t="shared" ca="1" si="32"/>
        <v>654.35300537999979</v>
      </c>
      <c r="AI32" s="11">
        <f t="shared" ca="1" si="32"/>
        <v>786.25820414999998</v>
      </c>
      <c r="AJ32" s="11">
        <f t="shared" ca="1" si="32"/>
        <v>652.60390367499963</v>
      </c>
      <c r="AK32" s="11">
        <f t="shared" ca="1" si="32"/>
        <v>489.80772631249971</v>
      </c>
      <c r="AL32" s="11">
        <f t="shared" ca="1" si="32"/>
        <v>667.31085163950047</v>
      </c>
      <c r="AM32" s="11">
        <f t="shared" ca="1" si="32"/>
        <v>797.57675925374986</v>
      </c>
      <c r="AN32" s="11">
        <f t="shared" ca="1" si="32"/>
        <v>664.0255262668752</v>
      </c>
      <c r="AO32" s="11">
        <f t="shared" ca="1" si="32"/>
        <v>502.57089447031257</v>
      </c>
      <c r="AP32" s="11">
        <f t="shared" ca="1" si="32"/>
        <v>680.64889405548752</v>
      </c>
      <c r="AQ32" s="11">
        <f t="shared" ca="1" si="32"/>
        <v>809.23452823509297</v>
      </c>
      <c r="AR32" s="11">
        <f t="shared" ca="1" si="32"/>
        <v>675.78893942354694</v>
      </c>
      <c r="AS32" s="11">
        <f t="shared" ca="1" si="32"/>
        <v>515.7093918320702</v>
      </c>
      <c r="AT32" s="11">
        <f t="shared" ca="1" si="32"/>
        <v>694.37832503187497</v>
      </c>
      <c r="AU32" s="11">
        <f t="shared" ca="1" si="32"/>
        <v>821.2416789409715</v>
      </c>
      <c r="AV32" s="11">
        <f t="shared" ca="1" si="32"/>
        <v>687.90437540913535</v>
      </c>
      <c r="AW32" s="11">
        <f t="shared" ca="1" si="32"/>
        <v>529.23428912787199</v>
      </c>
      <c r="AX32" s="11">
        <f t="shared" ca="1" si="32"/>
        <v>708.51066740767192</v>
      </c>
      <c r="AY32" s="11">
        <f t="shared" ca="1" si="32"/>
        <v>833.6086840394961</v>
      </c>
      <c r="AZ32" s="11">
        <f t="shared" ca="1" si="32"/>
        <v>700.38237291936434</v>
      </c>
      <c r="BA32" s="11">
        <f t="shared" ca="1" si="32"/>
        <v>543.15698448106923</v>
      </c>
      <c r="BB32" s="83" t="s">
        <v>75</v>
      </c>
    </row>
    <row r="33" spans="1:54" s="2" customFormat="1" x14ac:dyDescent="0.2">
      <c r="C33" s="45"/>
      <c r="F33" s="13"/>
      <c r="G33" s="13"/>
      <c r="H33" s="13"/>
      <c r="I33" s="13"/>
      <c r="J33" s="13"/>
      <c r="K33" s="13"/>
      <c r="L33" s="13"/>
      <c r="M33" s="13"/>
      <c r="N33" s="13"/>
      <c r="P33" s="131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83" t="s">
        <v>75</v>
      </c>
    </row>
    <row r="34" spans="1:54" s="2" customFormat="1" x14ac:dyDescent="0.2">
      <c r="B34" s="1" t="s">
        <v>450</v>
      </c>
      <c r="C34" s="45" t="s">
        <v>177</v>
      </c>
      <c r="F34" s="70">
        <f>+F29/F$27</f>
        <v>0.51967097033101894</v>
      </c>
      <c r="G34" s="70">
        <f t="shared" ref="G34:N34" ca="1" si="33">+G29/G$27</f>
        <v>0.49073771866046567</v>
      </c>
      <c r="H34" s="70">
        <f t="shared" ca="1" si="33"/>
        <v>0.59121350581582011</v>
      </c>
      <c r="I34" s="70">
        <f t="shared" ca="1" si="33"/>
        <v>0.6126794945743409</v>
      </c>
      <c r="J34" s="70">
        <f t="shared" ca="1" si="33"/>
        <v>0.56801770166699539</v>
      </c>
      <c r="K34" s="70">
        <f t="shared" ca="1" si="33"/>
        <v>0.5827383671072055</v>
      </c>
      <c r="L34" s="70">
        <f t="shared" ca="1" si="33"/>
        <v>0.59713763015921395</v>
      </c>
      <c r="M34" s="70">
        <f t="shared" ca="1" si="33"/>
        <v>0.61120510354408764</v>
      </c>
      <c r="N34" s="70">
        <f t="shared" ca="1" si="33"/>
        <v>0.62384793314156228</v>
      </c>
      <c r="P34" s="131"/>
      <c r="R34" s="13"/>
      <c r="S34" s="13"/>
      <c r="T34" s="13"/>
      <c r="U34" s="13"/>
      <c r="V34" s="70">
        <f t="shared" ref="V34:BA34" ca="1" si="34">+V29/V$27</f>
        <v>0.51802505524800491</v>
      </c>
      <c r="W34" s="70">
        <f t="shared" ca="1" si="34"/>
        <v>0.50118442833051513</v>
      </c>
      <c r="X34" s="70">
        <f t="shared" ca="1" si="34"/>
        <v>0.53029817825495584</v>
      </c>
      <c r="Y34" s="70">
        <f t="shared" ca="1" si="34"/>
        <v>0.38889456420788704</v>
      </c>
      <c r="Z34" s="70">
        <f t="shared" ca="1" si="34"/>
        <v>0.50622658575173318</v>
      </c>
      <c r="AA34" s="70">
        <f t="shared" ca="1" si="34"/>
        <v>0.60680237842373441</v>
      </c>
      <c r="AB34" s="70">
        <f t="shared" ca="1" si="34"/>
        <v>0.60231814237415959</v>
      </c>
      <c r="AC34" s="70">
        <f t="shared" ca="1" si="34"/>
        <v>0.67324650819176646</v>
      </c>
      <c r="AD34" s="70">
        <f t="shared" ca="1" si="34"/>
        <v>0.55454855696210359</v>
      </c>
      <c r="AE34" s="70">
        <f t="shared" ca="1" si="34"/>
        <v>0.62630644104829536</v>
      </c>
      <c r="AF34" s="70">
        <f t="shared" ca="1" si="34"/>
        <v>0.61231293043661117</v>
      </c>
      <c r="AG34" s="70">
        <f t="shared" ca="1" si="34"/>
        <v>0.68567740848143532</v>
      </c>
      <c r="AH34" s="70">
        <f t="shared" ca="1" si="34"/>
        <v>0.51545212625492776</v>
      </c>
      <c r="AI34" s="70">
        <f t="shared" ca="1" si="34"/>
        <v>0.59057584782135564</v>
      </c>
      <c r="AJ34" s="70">
        <f t="shared" ca="1" si="34"/>
        <v>0.57801004006418821</v>
      </c>
      <c r="AK34" s="70">
        <f t="shared" ca="1" si="34"/>
        <v>0.59001908177968321</v>
      </c>
      <c r="AL34" s="70">
        <f t="shared" ca="1" si="34"/>
        <v>0.53020962494390567</v>
      </c>
      <c r="AM34" s="70">
        <f t="shared" ca="1" si="34"/>
        <v>0.60557759466294736</v>
      </c>
      <c r="AN34" s="70">
        <f t="shared" ca="1" si="34"/>
        <v>0.5930634998315093</v>
      </c>
      <c r="AO34" s="70">
        <f t="shared" ca="1" si="34"/>
        <v>0.60315181800561535</v>
      </c>
      <c r="AP34" s="70">
        <f t="shared" ca="1" si="34"/>
        <v>0.54474374995713004</v>
      </c>
      <c r="AQ34" s="70">
        <f t="shared" ca="1" si="34"/>
        <v>0.62020926352238459</v>
      </c>
      <c r="AR34" s="70">
        <f t="shared" ca="1" si="34"/>
        <v>0.60775451227246113</v>
      </c>
      <c r="AS34" s="70">
        <f t="shared" ca="1" si="34"/>
        <v>0.61598882639442853</v>
      </c>
      <c r="AT34" s="70">
        <f t="shared" ca="1" si="34"/>
        <v>0.55903908591937135</v>
      </c>
      <c r="AU34" s="70">
        <f t="shared" ca="1" si="34"/>
        <v>0.63446111489002766</v>
      </c>
      <c r="AV34" s="70">
        <f t="shared" ca="1" si="34"/>
        <v>0.62207405800178206</v>
      </c>
      <c r="AW34" s="70">
        <f t="shared" ca="1" si="34"/>
        <v>0.62852520593964734</v>
      </c>
      <c r="AX34" s="70">
        <f t="shared" ca="1" si="34"/>
        <v>0.57196241509510926</v>
      </c>
      <c r="AY34" s="70">
        <f t="shared" ca="1" si="34"/>
        <v>0.64726511340455772</v>
      </c>
      <c r="AZ34" s="70">
        <f t="shared" ca="1" si="34"/>
        <v>0.63491741286897108</v>
      </c>
      <c r="BA34" s="70">
        <f t="shared" ca="1" si="34"/>
        <v>0.63973781909295335</v>
      </c>
      <c r="BB34" s="83" t="s">
        <v>75</v>
      </c>
    </row>
    <row r="35" spans="1:54" s="2" customFormat="1" x14ac:dyDescent="0.2">
      <c r="B35" s="1" t="s">
        <v>13</v>
      </c>
      <c r="C35" s="45" t="s">
        <v>177</v>
      </c>
      <c r="F35" s="70">
        <f t="shared" ref="F35:N35" si="35">+F30/F$27</f>
        <v>7.9544410219972092E-2</v>
      </c>
      <c r="G35" s="70">
        <f t="shared" ca="1" si="35"/>
        <v>4.1651128544354127E-2</v>
      </c>
      <c r="H35" s="70">
        <f t="shared" ca="1" si="35"/>
        <v>4.5990296456495751E-2</v>
      </c>
      <c r="I35" s="70">
        <f t="shared" ca="1" si="35"/>
        <v>4.8576799407144926E-2</v>
      </c>
      <c r="J35" s="70">
        <f t="shared" ca="1" si="35"/>
        <v>4.1859277428851302E-2</v>
      </c>
      <c r="K35" s="70">
        <f t="shared" ca="1" si="35"/>
        <v>4.0093214297668218E-2</v>
      </c>
      <c r="L35" s="70">
        <f t="shared" ca="1" si="35"/>
        <v>3.838128745610446E-2</v>
      </c>
      <c r="M35" s="70">
        <f t="shared" ca="1" si="35"/>
        <v>3.6723818682389997E-2</v>
      </c>
      <c r="N35" s="70">
        <f t="shared" ca="1" si="35"/>
        <v>3.5222442421006403E-2</v>
      </c>
      <c r="P35" s="131"/>
      <c r="R35" s="13"/>
      <c r="S35" s="13"/>
      <c r="T35" s="13"/>
      <c r="U35" s="13"/>
      <c r="V35" s="70">
        <f t="shared" ref="V35:BA35" ca="1" si="36">+V30/V$27</f>
        <v>5.2850303248399129E-2</v>
      </c>
      <c r="W35" s="70">
        <f t="shared" ca="1" si="36"/>
        <v>6.4414126661057461E-2</v>
      </c>
      <c r="X35" s="70">
        <f t="shared" ca="1" si="36"/>
        <v>4.3073019726945043E-2</v>
      </c>
      <c r="Y35" s="70">
        <f t="shared" ca="1" si="36"/>
        <v>0</v>
      </c>
      <c r="Z35" s="70">
        <f t="shared" ca="1" si="36"/>
        <v>4.2403172790126127E-2</v>
      </c>
      <c r="AA35" s="70">
        <f t="shared" ca="1" si="36"/>
        <v>5.9923384802700722E-2</v>
      </c>
      <c r="AB35" s="70">
        <f t="shared" ca="1" si="36"/>
        <v>5.2273629616236369E-2</v>
      </c>
      <c r="AC35" s="70">
        <f t="shared" ca="1" si="36"/>
        <v>9.9202078958875589E-3</v>
      </c>
      <c r="AD35" s="70">
        <f t="shared" ca="1" si="36"/>
        <v>4.2730106357238215E-2</v>
      </c>
      <c r="AE35" s="70">
        <f t="shared" ca="1" si="36"/>
        <v>6.3326156474438122E-2</v>
      </c>
      <c r="AF35" s="70">
        <f t="shared" ca="1" si="36"/>
        <v>5.6696609881502658E-2</v>
      </c>
      <c r="AG35" s="70">
        <f t="shared" ca="1" si="36"/>
        <v>1.0707587432612936E-2</v>
      </c>
      <c r="AH35" s="70">
        <f t="shared" ca="1" si="36"/>
        <v>3.6936216891817281E-2</v>
      </c>
      <c r="AI35" s="70">
        <f t="shared" ca="1" si="36"/>
        <v>5.5480285663766657E-2</v>
      </c>
      <c r="AJ35" s="70">
        <f t="shared" ca="1" si="36"/>
        <v>4.9683853529540328E-2</v>
      </c>
      <c r="AK35" s="70">
        <f t="shared" ca="1" si="36"/>
        <v>8.5837682661315268E-3</v>
      </c>
      <c r="AL35" s="70">
        <f t="shared" ca="1" si="36"/>
        <v>3.5489101411501266E-2</v>
      </c>
      <c r="AM35" s="70">
        <f t="shared" ca="1" si="36"/>
        <v>5.3115188570995113E-2</v>
      </c>
      <c r="AN35" s="70">
        <f t="shared" ca="1" si="36"/>
        <v>4.753530759278074E-2</v>
      </c>
      <c r="AO35" s="70">
        <f t="shared" ca="1" si="36"/>
        <v>8.2049208417413824E-3</v>
      </c>
      <c r="AP35" s="70">
        <f t="shared" ca="1" si="36"/>
        <v>3.4079372338771674E-2</v>
      </c>
      <c r="AQ35" s="70">
        <f t="shared" ca="1" si="36"/>
        <v>5.0821656384428066E-2</v>
      </c>
      <c r="AR35" s="70">
        <f t="shared" ca="1" si="36"/>
        <v>4.545584786787827E-2</v>
      </c>
      <c r="AS35" s="70">
        <f t="shared" ca="1" si="36"/>
        <v>7.8398257439053851E-3</v>
      </c>
      <c r="AT35" s="70">
        <f t="shared" ca="1" si="36"/>
        <v>3.2707730507951283E-2</v>
      </c>
      <c r="AU35" s="70">
        <f t="shared" ca="1" si="36"/>
        <v>4.8600518400685008E-2</v>
      </c>
      <c r="AV35" s="70">
        <f t="shared" ca="1" si="36"/>
        <v>4.3445671573801067E-2</v>
      </c>
      <c r="AW35" s="70">
        <f t="shared" ca="1" si="36"/>
        <v>7.488271235606074E-3</v>
      </c>
      <c r="AX35" s="70">
        <f t="shared" ca="1" si="36"/>
        <v>3.1456976028895411E-2</v>
      </c>
      <c r="AY35" s="70">
        <f t="shared" ca="1" si="36"/>
        <v>4.6592324542522219E-2</v>
      </c>
      <c r="AZ35" s="70">
        <f t="shared" ca="1" si="36"/>
        <v>4.1629866631077338E-2</v>
      </c>
      <c r="BA35" s="70">
        <f t="shared" ca="1" si="36"/>
        <v>7.1703095568614126E-3</v>
      </c>
      <c r="BB35" s="83" t="s">
        <v>75</v>
      </c>
    </row>
    <row r="36" spans="1:54" s="2" customFormat="1" x14ac:dyDescent="0.2">
      <c r="B36" s="1" t="s">
        <v>15</v>
      </c>
      <c r="C36" s="45" t="s">
        <v>177</v>
      </c>
      <c r="F36" s="70">
        <f t="shared" ref="F36:N36" si="37">+F31/F$27</f>
        <v>0.2804976105036493</v>
      </c>
      <c r="G36" s="70">
        <f t="shared" ca="1" si="37"/>
        <v>0.31406908743925305</v>
      </c>
      <c r="H36" s="70">
        <f t="shared" ca="1" si="37"/>
        <v>0.27512909423840021</v>
      </c>
      <c r="I36" s="70">
        <f t="shared" ca="1" si="37"/>
        <v>0.25775169960077376</v>
      </c>
      <c r="J36" s="70">
        <f t="shared" ca="1" si="37"/>
        <v>0.22430717515000695</v>
      </c>
      <c r="K36" s="70">
        <f t="shared" ca="1" si="37"/>
        <v>0.21697071093113998</v>
      </c>
      <c r="L36" s="70">
        <f t="shared" ca="1" si="37"/>
        <v>0.20976284912610751</v>
      </c>
      <c r="M36" s="70">
        <f t="shared" ca="1" si="37"/>
        <v>0.20269156089724433</v>
      </c>
      <c r="N36" s="70">
        <f t="shared" ca="1" si="37"/>
        <v>0.19632974318480181</v>
      </c>
      <c r="P36" s="131"/>
      <c r="R36" s="13"/>
      <c r="S36" s="13"/>
      <c r="T36" s="13"/>
      <c r="U36" s="13"/>
      <c r="V36" s="70">
        <f t="shared" ref="V36:BA36" ca="1" si="38">+V31/V$27</f>
        <v>0.23275633507874163</v>
      </c>
      <c r="W36" s="70">
        <f t="shared" ca="1" si="38"/>
        <v>0.28829652237441555</v>
      </c>
      <c r="X36" s="70">
        <f t="shared" ca="1" si="38"/>
        <v>0.27534875278636034</v>
      </c>
      <c r="Y36" s="70">
        <f t="shared" ca="1" si="38"/>
        <v>0.49020084431549604</v>
      </c>
      <c r="Z36" s="70">
        <f t="shared" ca="1" si="38"/>
        <v>0.35756412488769956</v>
      </c>
      <c r="AA36" s="70">
        <f t="shared" ca="1" si="38"/>
        <v>0.22178218149022771</v>
      </c>
      <c r="AB36" s="70">
        <f t="shared" ca="1" si="38"/>
        <v>0.27274756278166612</v>
      </c>
      <c r="AC36" s="70">
        <f t="shared" ca="1" si="38"/>
        <v>0.25612856996872169</v>
      </c>
      <c r="AD36" s="70">
        <f t="shared" ca="1" si="38"/>
        <v>0.31958904963854828</v>
      </c>
      <c r="AE36" s="70">
        <f t="shared" ca="1" si="38"/>
        <v>0.20788146815232178</v>
      </c>
      <c r="AF36" s="70">
        <f t="shared" ca="1" si="38"/>
        <v>0.26238417912790274</v>
      </c>
      <c r="AG36" s="70">
        <f t="shared" ca="1" si="38"/>
        <v>0.24520606715777529</v>
      </c>
      <c r="AH36" s="70">
        <f t="shared" ca="1" si="38"/>
        <v>0.27899031434791899</v>
      </c>
      <c r="AI36" s="70">
        <f t="shared" ca="1" si="38"/>
        <v>0.1839289671903066</v>
      </c>
      <c r="AJ36" s="70">
        <f t="shared" ca="1" si="38"/>
        <v>0.23220663465577041</v>
      </c>
      <c r="AK36" s="70">
        <f t="shared" ca="1" si="38"/>
        <v>0.19851638818130801</v>
      </c>
      <c r="AL36" s="70">
        <f t="shared" ca="1" si="38"/>
        <v>0.27071387508695099</v>
      </c>
      <c r="AM36" s="70">
        <f t="shared" ca="1" si="38"/>
        <v>0.17783161363031674</v>
      </c>
      <c r="AN36" s="70">
        <f t="shared" ca="1" si="38"/>
        <v>0.22436466330453531</v>
      </c>
      <c r="AO36" s="70">
        <f t="shared" ca="1" si="38"/>
        <v>0.19163356277613627</v>
      </c>
      <c r="AP36" s="70">
        <f t="shared" ca="1" si="38"/>
        <v>0.26253420694738178</v>
      </c>
      <c r="AQ36" s="70">
        <f t="shared" ca="1" si="38"/>
        <v>0.17183746415829035</v>
      </c>
      <c r="AR36" s="70">
        <f t="shared" ca="1" si="38"/>
        <v>0.21667395485187949</v>
      </c>
      <c r="AS36" s="70">
        <f t="shared" ca="1" si="38"/>
        <v>0.18491936188381308</v>
      </c>
      <c r="AT36" s="70">
        <f t="shared" ca="1" si="38"/>
        <v>0.25446234152198804</v>
      </c>
      <c r="AU36" s="70">
        <f t="shared" ca="1" si="38"/>
        <v>0.16595438769372201</v>
      </c>
      <c r="AV36" s="70">
        <f t="shared" ca="1" si="38"/>
        <v>0.20914248325822643</v>
      </c>
      <c r="AW36" s="70">
        <f t="shared" ca="1" si="38"/>
        <v>0.17837596726632082</v>
      </c>
      <c r="AX36" s="70">
        <f t="shared" ca="1" si="38"/>
        <v>0.24715470237557821</v>
      </c>
      <c r="AY36" s="70">
        <f t="shared" ca="1" si="38"/>
        <v>0.16067230124552301</v>
      </c>
      <c r="AZ36" s="70">
        <f t="shared" ca="1" si="38"/>
        <v>0.20238557873013507</v>
      </c>
      <c r="BA36" s="70">
        <f t="shared" ca="1" si="38"/>
        <v>0.17249300091421491</v>
      </c>
      <c r="BB36" s="83" t="s">
        <v>75</v>
      </c>
    </row>
    <row r="37" spans="1:54" s="2" customFormat="1" x14ac:dyDescent="0.2">
      <c r="B37" s="1" t="s">
        <v>451</v>
      </c>
      <c r="C37" s="45" t="s">
        <v>177</v>
      </c>
      <c r="F37" s="70">
        <f t="shared" ref="F37:N37" si="39">+F32/F$27</f>
        <v>0.12028700894535964</v>
      </c>
      <c r="G37" s="70">
        <f t="shared" ca="1" si="39"/>
        <v>0.15354206535592718</v>
      </c>
      <c r="H37" s="70">
        <f t="shared" ca="1" si="39"/>
        <v>8.7667103489283929E-2</v>
      </c>
      <c r="I37" s="70">
        <f t="shared" ca="1" si="39"/>
        <v>8.0992006417740431E-2</v>
      </c>
      <c r="J37" s="70">
        <f t="shared" ca="1" si="39"/>
        <v>0.16581584575414632</v>
      </c>
      <c r="K37" s="70">
        <f t="shared" ca="1" si="39"/>
        <v>0.16019770766398633</v>
      </c>
      <c r="L37" s="70">
        <f t="shared" ca="1" si="39"/>
        <v>0.15471823325857409</v>
      </c>
      <c r="M37" s="70">
        <f t="shared" ca="1" si="39"/>
        <v>0.14937951687627804</v>
      </c>
      <c r="N37" s="70">
        <f t="shared" ca="1" si="39"/>
        <v>0.14459988125262949</v>
      </c>
      <c r="P37" s="131"/>
      <c r="R37" s="13"/>
      <c r="S37" s="13"/>
      <c r="T37" s="13"/>
      <c r="U37" s="13"/>
      <c r="V37" s="70">
        <f t="shared" ref="V37:BA37" ca="1" si="40">+V32/V$27</f>
        <v>0.19636830642485431</v>
      </c>
      <c r="W37" s="70">
        <f t="shared" ca="1" si="40"/>
        <v>0.14610492263401184</v>
      </c>
      <c r="X37" s="70">
        <f t="shared" ca="1" si="40"/>
        <v>0.15128004923173882</v>
      </c>
      <c r="Y37" s="70">
        <f t="shared" ca="1" si="40"/>
        <v>0.12090459147661696</v>
      </c>
      <c r="Z37" s="70">
        <f t="shared" ca="1" si="40"/>
        <v>9.380611657044112E-2</v>
      </c>
      <c r="AA37" s="70">
        <f t="shared" ca="1" si="40"/>
        <v>0.1114920552833371</v>
      </c>
      <c r="AB37" s="70">
        <f t="shared" ca="1" si="40"/>
        <v>7.2660665227937835E-2</v>
      </c>
      <c r="AC37" s="70">
        <f t="shared" ca="1" si="40"/>
        <v>6.0704713943624346E-2</v>
      </c>
      <c r="AD37" s="70">
        <f t="shared" ca="1" si="40"/>
        <v>8.3132287042109856E-2</v>
      </c>
      <c r="AE37" s="70">
        <f t="shared" ca="1" si="40"/>
        <v>0.10248593432494478</v>
      </c>
      <c r="AF37" s="70">
        <f t="shared" ca="1" si="40"/>
        <v>6.8606280553983393E-2</v>
      </c>
      <c r="AG37" s="70">
        <f t="shared" ca="1" si="40"/>
        <v>5.8408936928176447E-2</v>
      </c>
      <c r="AH37" s="70">
        <f t="shared" ca="1" si="40"/>
        <v>0.16862134250533597</v>
      </c>
      <c r="AI37" s="70">
        <f t="shared" ca="1" si="40"/>
        <v>0.17001489932457112</v>
      </c>
      <c r="AJ37" s="70">
        <f t="shared" ca="1" si="40"/>
        <v>0.14009947175050105</v>
      </c>
      <c r="AK37" s="70">
        <f t="shared" ca="1" si="40"/>
        <v>0.20288076177287723</v>
      </c>
      <c r="AL37" s="70">
        <f t="shared" ca="1" si="40"/>
        <v>0.16358739855764201</v>
      </c>
      <c r="AM37" s="70">
        <f t="shared" ca="1" si="40"/>
        <v>0.1634756031357408</v>
      </c>
      <c r="AN37" s="70">
        <f t="shared" ca="1" si="40"/>
        <v>0.13503652927117463</v>
      </c>
      <c r="AO37" s="70">
        <f t="shared" ca="1" si="40"/>
        <v>0.19700969837650698</v>
      </c>
      <c r="AP37" s="70">
        <f t="shared" ca="1" si="40"/>
        <v>0.15864267075671659</v>
      </c>
      <c r="AQ37" s="70">
        <f t="shared" ca="1" si="40"/>
        <v>0.15713161593489702</v>
      </c>
      <c r="AR37" s="70">
        <f t="shared" ca="1" si="40"/>
        <v>0.13011568500778112</v>
      </c>
      <c r="AS37" s="70">
        <f t="shared" ca="1" si="40"/>
        <v>0.19125198597785301</v>
      </c>
      <c r="AT37" s="70">
        <f t="shared" ca="1" si="40"/>
        <v>0.1537908420506893</v>
      </c>
      <c r="AU37" s="70">
        <f t="shared" ca="1" si="40"/>
        <v>0.15098397901556537</v>
      </c>
      <c r="AV37" s="70">
        <f t="shared" ca="1" si="40"/>
        <v>0.12533778716619043</v>
      </c>
      <c r="AW37" s="70">
        <f t="shared" ca="1" si="40"/>
        <v>0.18561055555842573</v>
      </c>
      <c r="AX37" s="70">
        <f t="shared" ca="1" si="40"/>
        <v>0.1494259065004172</v>
      </c>
      <c r="AY37" s="70">
        <f t="shared" ca="1" si="40"/>
        <v>0.14547026080739706</v>
      </c>
      <c r="AZ37" s="70">
        <f t="shared" ca="1" si="40"/>
        <v>0.12106714176981655</v>
      </c>
      <c r="BA37" s="70">
        <f t="shared" ca="1" si="40"/>
        <v>0.18059887043597037</v>
      </c>
      <c r="BB37" s="83" t="s">
        <v>75</v>
      </c>
    </row>
    <row r="38" spans="1:54" s="2" customFormat="1" x14ac:dyDescent="0.2">
      <c r="C38" s="45"/>
      <c r="F38" s="13"/>
      <c r="G38" s="13"/>
      <c r="H38" s="13"/>
      <c r="I38" s="13"/>
      <c r="J38" s="13"/>
      <c r="K38" s="13"/>
      <c r="L38" s="13"/>
      <c r="M38" s="13"/>
      <c r="N38" s="13"/>
      <c r="P38" s="131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83" t="s">
        <v>75</v>
      </c>
    </row>
    <row r="39" spans="1:54" s="3" customFormat="1" x14ac:dyDescent="0.2">
      <c r="A39" s="17" t="s">
        <v>75</v>
      </c>
      <c r="B39" s="3" t="s">
        <v>131</v>
      </c>
      <c r="V39" s="225"/>
      <c r="W39" s="225"/>
      <c r="X39" s="225"/>
      <c r="Y39" s="225"/>
      <c r="Z39" s="225"/>
      <c r="AA39" s="225"/>
      <c r="AB39" s="225"/>
      <c r="AC39" s="225"/>
      <c r="BB39" s="87" t="s">
        <v>75</v>
      </c>
    </row>
    <row r="40" spans="1:54" s="2" customFormat="1" x14ac:dyDescent="0.2">
      <c r="B40" s="2" t="s">
        <v>132</v>
      </c>
      <c r="C40" s="45" t="s">
        <v>187</v>
      </c>
      <c r="G40" s="13">
        <f t="shared" ref="G40:H51" si="41">+SUMIFS(40:40,$6:$6,G$3)</f>
        <v>937.94720915265088</v>
      </c>
      <c r="H40" s="13">
        <f t="shared" si="41"/>
        <v>1462.1034392089684</v>
      </c>
      <c r="I40" s="13"/>
      <c r="J40" s="13"/>
      <c r="K40" s="13"/>
      <c r="L40" s="13"/>
      <c r="M40" s="13"/>
      <c r="N40" s="13"/>
      <c r="V40" s="24">
        <f t="shared" ref="V40:AC40" si="42">+V41+V42+V43</f>
        <v>191.07216957197809</v>
      </c>
      <c r="W40" s="24">
        <f t="shared" si="42"/>
        <v>253.67503958067272</v>
      </c>
      <c r="X40" s="24">
        <f t="shared" si="42"/>
        <v>272</v>
      </c>
      <c r="Y40" s="24">
        <f t="shared" si="42"/>
        <v>221.20000000000002</v>
      </c>
      <c r="Z40" s="24">
        <f t="shared" si="42"/>
        <v>213.5224031567883</v>
      </c>
      <c r="AA40" s="24">
        <f t="shared" si="42"/>
        <v>426.19422485005992</v>
      </c>
      <c r="AB40" s="24">
        <f t="shared" si="42"/>
        <v>464.73879434284771</v>
      </c>
      <c r="AC40" s="24">
        <f t="shared" si="42"/>
        <v>357.64801685927256</v>
      </c>
      <c r="BB40" s="83" t="s">
        <v>75</v>
      </c>
    </row>
    <row r="41" spans="1:54" x14ac:dyDescent="0.2">
      <c r="B41" s="19" t="s">
        <v>133</v>
      </c>
      <c r="C41" s="45" t="s">
        <v>187</v>
      </c>
      <c r="D41" s="19"/>
      <c r="E41" s="19"/>
      <c r="F41" s="19"/>
      <c r="G41" s="11">
        <f t="shared" si="41"/>
        <v>920.23885675787312</v>
      </c>
      <c r="H41" s="11">
        <f t="shared" si="41"/>
        <v>1248.3207974083775</v>
      </c>
      <c r="I41" s="11">
        <f t="shared" ref="I41:N41" ca="1" si="43">+SUMIFS(41:41,$6:$6,I$3)</f>
        <v>1483.5917752521761</v>
      </c>
      <c r="J41" s="11">
        <f t="shared" ca="1" si="43"/>
        <v>1670.591965820096</v>
      </c>
      <c r="K41" s="11">
        <f t="shared" ca="1" si="43"/>
        <v>1813.0401507578533</v>
      </c>
      <c r="L41" s="11">
        <f t="shared" ca="1" si="43"/>
        <v>1970.5672351425687</v>
      </c>
      <c r="M41" s="11">
        <f t="shared" ca="1" si="43"/>
        <v>2144.8473337829541</v>
      </c>
      <c r="N41" s="11">
        <f t="shared" ca="1" si="43"/>
        <v>2330.4589020738581</v>
      </c>
      <c r="P41" s="97">
        <f ca="1">+IFERROR((N41/I41)^(1/5)-1,"NM")</f>
        <v>9.4524295788000146E-2</v>
      </c>
      <c r="R41" s="19"/>
      <c r="S41" s="19"/>
      <c r="T41" s="19"/>
      <c r="U41" s="19"/>
      <c r="V41" s="12">
        <v>195.71934657345975</v>
      </c>
      <c r="W41" s="12">
        <v>236.83260372441345</v>
      </c>
      <c r="X41" s="12">
        <v>267.38156703999999</v>
      </c>
      <c r="Y41" s="12">
        <v>220.30533942000002</v>
      </c>
      <c r="Z41" s="12">
        <v>237.88087720522179</v>
      </c>
      <c r="AA41" s="12">
        <v>349.02041065396855</v>
      </c>
      <c r="AB41" s="12">
        <v>364.75576544647748</v>
      </c>
      <c r="AC41" s="12">
        <v>296.6637441027097</v>
      </c>
      <c r="AD41" s="11">
        <f ca="1">+AD80+AD89+AD98+AD107+AD129</f>
        <v>327.22157517198423</v>
      </c>
      <c r="AE41" s="11">
        <f t="shared" ref="AE41:BA41" ca="1" si="44">+AE80+AE89+AE98+AE107+AE129</f>
        <v>431.29173616136291</v>
      </c>
      <c r="AF41" s="11">
        <f t="shared" ca="1" si="44"/>
        <v>420.97015883395881</v>
      </c>
      <c r="AG41" s="11">
        <f t="shared" ca="1" si="44"/>
        <v>304.10830508487015</v>
      </c>
      <c r="AH41" s="11">
        <f t="shared" ca="1" si="44"/>
        <v>368.37116850755012</v>
      </c>
      <c r="AI41" s="11">
        <f t="shared" ca="1" si="44"/>
        <v>485.54014812029317</v>
      </c>
      <c r="AJ41" s="11">
        <f t="shared" ca="1" si="44"/>
        <v>473.99433149828337</v>
      </c>
      <c r="AK41" s="11">
        <f t="shared" ca="1" si="44"/>
        <v>342.68631769396933</v>
      </c>
      <c r="AL41" s="11">
        <f t="shared" ca="1" si="44"/>
        <v>397.82272626401209</v>
      </c>
      <c r="AM41" s="11">
        <f t="shared" ca="1" si="44"/>
        <v>529.24646968920331</v>
      </c>
      <c r="AN41" s="11">
        <f t="shared" ca="1" si="44"/>
        <v>516.54491980677312</v>
      </c>
      <c r="AO41" s="11">
        <f t="shared" ca="1" si="44"/>
        <v>369.42603499786469</v>
      </c>
      <c r="AP41" s="11">
        <f t="shared" ca="1" si="44"/>
        <v>430.29787647927628</v>
      </c>
      <c r="AQ41" s="11">
        <f t="shared" ca="1" si="44"/>
        <v>577.6811866352283</v>
      </c>
      <c r="AR41" s="11">
        <f t="shared" ca="1" si="44"/>
        <v>563.70593625180061</v>
      </c>
      <c r="AS41" s="11">
        <f t="shared" ca="1" si="44"/>
        <v>398.8822357762636</v>
      </c>
      <c r="AT41" s="11">
        <f t="shared" ca="1" si="44"/>
        <v>466.12841151517824</v>
      </c>
      <c r="AU41" s="11">
        <f t="shared" ca="1" si="44"/>
        <v>631.37304721848955</v>
      </c>
      <c r="AV41" s="11">
        <f t="shared" ca="1" si="44"/>
        <v>615.99385474316864</v>
      </c>
      <c r="AW41" s="11">
        <f t="shared" ca="1" si="44"/>
        <v>431.35202030611788</v>
      </c>
      <c r="AX41" s="11">
        <f t="shared" ca="1" si="44"/>
        <v>504.25663817663144</v>
      </c>
      <c r="AY41" s="11">
        <f t="shared" ca="1" si="44"/>
        <v>688.59490258652772</v>
      </c>
      <c r="AZ41" s="11">
        <f t="shared" ca="1" si="44"/>
        <v>671.71489794707486</v>
      </c>
      <c r="BA41" s="11">
        <f t="shared" ca="1" si="44"/>
        <v>465.89246336362407</v>
      </c>
      <c r="BB41" s="8" t="s">
        <v>75</v>
      </c>
    </row>
    <row r="42" spans="1:54" x14ac:dyDescent="0.2">
      <c r="B42" s="19" t="s">
        <v>134</v>
      </c>
      <c r="C42" s="45" t="s">
        <v>187</v>
      </c>
      <c r="D42" s="19"/>
      <c r="E42" s="19"/>
      <c r="F42" s="19"/>
      <c r="G42" s="11">
        <f t="shared" si="41"/>
        <v>44.452646160000008</v>
      </c>
      <c r="H42" s="11">
        <f t="shared" si="41"/>
        <v>352.87522060999913</v>
      </c>
      <c r="I42" s="11"/>
      <c r="J42" s="11"/>
      <c r="K42" s="11"/>
      <c r="L42" s="11"/>
      <c r="M42" s="11"/>
      <c r="N42" s="11"/>
      <c r="R42" s="19"/>
      <c r="S42" s="19"/>
      <c r="T42" s="19"/>
      <c r="U42" s="19"/>
      <c r="V42" s="12">
        <v>6.56180399999991E-2</v>
      </c>
      <c r="W42" s="12">
        <v>20.873934580000011</v>
      </c>
      <c r="X42" s="12">
        <v>23.618432959999996</v>
      </c>
      <c r="Y42" s="12">
        <v>-0.10533941999999999</v>
      </c>
      <c r="Z42" s="12">
        <v>64.611120739999961</v>
      </c>
      <c r="AA42" s="12">
        <v>115.77294795999939</v>
      </c>
      <c r="AB42" s="12">
        <v>131.9128545799997</v>
      </c>
      <c r="AC42" s="12">
        <v>40.578297330000083</v>
      </c>
      <c r="BB42" s="8" t="s">
        <v>75</v>
      </c>
    </row>
    <row r="43" spans="1:54" x14ac:dyDescent="0.2">
      <c r="B43" s="19" t="s">
        <v>135</v>
      </c>
      <c r="C43" s="45" t="s">
        <v>187</v>
      </c>
      <c r="D43" s="19"/>
      <c r="E43" s="19"/>
      <c r="F43" s="19"/>
      <c r="G43" s="11">
        <f t="shared" si="41"/>
        <v>-26.74429376522243</v>
      </c>
      <c r="H43" s="11">
        <f t="shared" si="41"/>
        <v>-139.09257880940822</v>
      </c>
      <c r="I43" s="11"/>
      <c r="J43" s="11"/>
      <c r="K43" s="11"/>
      <c r="L43" s="11"/>
      <c r="M43" s="11"/>
      <c r="N43" s="11"/>
      <c r="R43" s="19"/>
      <c r="S43" s="19"/>
      <c r="T43" s="19"/>
      <c r="U43" s="19"/>
      <c r="V43" s="12">
        <v>-4.7127950414816651</v>
      </c>
      <c r="W43" s="12">
        <v>-4.0314987237407642</v>
      </c>
      <c r="X43" s="12">
        <v>-19</v>
      </c>
      <c r="Y43" s="12">
        <v>1</v>
      </c>
      <c r="Z43" s="12">
        <v>-88.969594788433497</v>
      </c>
      <c r="AA43" s="12">
        <v>-38.599133763907993</v>
      </c>
      <c r="AB43" s="12">
        <v>-31.92982568362946</v>
      </c>
      <c r="AC43" s="12">
        <v>20.405975426562762</v>
      </c>
      <c r="BB43" s="8" t="s">
        <v>75</v>
      </c>
    </row>
    <row r="44" spans="1:54" x14ac:dyDescent="0.2">
      <c r="B44" s="2" t="s">
        <v>136</v>
      </c>
      <c r="C44" s="45" t="s">
        <v>187</v>
      </c>
      <c r="D44" s="2"/>
      <c r="E44" s="2"/>
      <c r="F44" s="2"/>
      <c r="G44" s="13">
        <f t="shared" si="41"/>
        <v>-474.97284894314924</v>
      </c>
      <c r="H44" s="13">
        <f t="shared" si="41"/>
        <v>-896.81577572773904</v>
      </c>
      <c r="I44" s="13"/>
      <c r="J44" s="13"/>
      <c r="K44" s="13"/>
      <c r="L44" s="13"/>
      <c r="M44" s="13"/>
      <c r="N44" s="13"/>
      <c r="R44" s="2"/>
      <c r="S44" s="2"/>
      <c r="T44" s="2"/>
      <c r="U44" s="2"/>
      <c r="V44" s="24">
        <f t="shared" ref="V44:AC44" si="45">+V45+V46</f>
        <v>-94.542877469528918</v>
      </c>
      <c r="W44" s="24">
        <f t="shared" si="45"/>
        <v>-109.19713662447678</v>
      </c>
      <c r="X44" s="24">
        <f t="shared" si="45"/>
        <v>-149.130698833959</v>
      </c>
      <c r="Y44" s="24">
        <f t="shared" si="45"/>
        <v>-122.10213601518454</v>
      </c>
      <c r="Z44" s="24">
        <f t="shared" si="45"/>
        <v>-186.2762448677893</v>
      </c>
      <c r="AA44" s="24">
        <f t="shared" si="45"/>
        <v>-275.66082644051698</v>
      </c>
      <c r="AB44" s="24">
        <f t="shared" si="45"/>
        <v>-279.95983799828014</v>
      </c>
      <c r="AC44" s="24">
        <f t="shared" si="45"/>
        <v>-154.91886642115264</v>
      </c>
      <c r="BB44" s="8" t="s">
        <v>75</v>
      </c>
    </row>
    <row r="45" spans="1:54" x14ac:dyDescent="0.2">
      <c r="B45" s="19" t="s">
        <v>136</v>
      </c>
      <c r="C45" s="45" t="s">
        <v>187</v>
      </c>
      <c r="D45" s="19"/>
      <c r="E45" s="19"/>
      <c r="F45" s="19"/>
      <c r="G45" s="11">
        <f t="shared" si="41"/>
        <v>-437.48629168314926</v>
      </c>
      <c r="H45" s="11">
        <f t="shared" si="41"/>
        <v>-544.24338804773913</v>
      </c>
      <c r="I45" s="11"/>
      <c r="J45" s="11"/>
      <c r="K45" s="11"/>
      <c r="L45" s="11"/>
      <c r="M45" s="11"/>
      <c r="N45" s="11"/>
      <c r="R45" s="19"/>
      <c r="S45" s="19"/>
      <c r="T45" s="19"/>
      <c r="U45" s="19"/>
      <c r="V45" s="12">
        <v>-94.194263459528912</v>
      </c>
      <c r="W45" s="12">
        <v>-93.646868704476788</v>
      </c>
      <c r="X45" s="12">
        <v>-127.46237785395901</v>
      </c>
      <c r="Y45" s="12">
        <v>-122.18278166518454</v>
      </c>
      <c r="Z45" s="12">
        <v>-121.42223682778929</v>
      </c>
      <c r="AA45" s="12">
        <v>-158.12359966051702</v>
      </c>
      <c r="AB45" s="12">
        <v>-148.22051498828017</v>
      </c>
      <c r="AC45" s="12">
        <v>-116.47703657115271</v>
      </c>
      <c r="BB45" s="8" t="s">
        <v>75</v>
      </c>
    </row>
    <row r="46" spans="1:54" x14ac:dyDescent="0.2">
      <c r="B46" s="19" t="s">
        <v>134</v>
      </c>
      <c r="C46" s="45" t="s">
        <v>187</v>
      </c>
      <c r="D46" s="19"/>
      <c r="E46" s="19"/>
      <c r="F46" s="19"/>
      <c r="G46" s="11">
        <f t="shared" si="41"/>
        <v>-37.486557259999998</v>
      </c>
      <c r="H46" s="11">
        <f t="shared" si="41"/>
        <v>-352.57238767999991</v>
      </c>
      <c r="I46" s="11"/>
      <c r="J46" s="11"/>
      <c r="K46" s="11"/>
      <c r="L46" s="11"/>
      <c r="M46" s="11"/>
      <c r="N46" s="11"/>
      <c r="R46" s="19"/>
      <c r="S46" s="19"/>
      <c r="T46" s="19"/>
      <c r="U46" s="19"/>
      <c r="V46" s="12">
        <v>-0.34861401000000003</v>
      </c>
      <c r="W46" s="12">
        <v>-15.55026792</v>
      </c>
      <c r="X46" s="12">
        <v>-21.668320980000001</v>
      </c>
      <c r="Y46" s="12">
        <v>8.064564999999857E-2</v>
      </c>
      <c r="Z46" s="12">
        <v>-64.854008040000011</v>
      </c>
      <c r="AA46" s="12">
        <v>-117.53722677999998</v>
      </c>
      <c r="AB46" s="12">
        <v>-131.73932300999999</v>
      </c>
      <c r="AC46" s="12">
        <v>-38.44182984999992</v>
      </c>
      <c r="BB46" s="8" t="s">
        <v>75</v>
      </c>
    </row>
    <row r="47" spans="1:54" x14ac:dyDescent="0.2">
      <c r="B47" s="1" t="s">
        <v>137</v>
      </c>
      <c r="C47" s="45" t="s">
        <v>187</v>
      </c>
      <c r="G47" s="11">
        <f t="shared" si="41"/>
        <v>-69.246613810626215</v>
      </c>
      <c r="H47" s="11">
        <f t="shared" si="41"/>
        <v>-167.37963687044834</v>
      </c>
      <c r="I47" s="11"/>
      <c r="J47" s="11"/>
      <c r="K47" s="11"/>
      <c r="L47" s="11"/>
      <c r="M47" s="11"/>
      <c r="N47" s="11"/>
      <c r="V47" s="12">
        <v>-18.092301353464009</v>
      </c>
      <c r="W47" s="12">
        <v>-23.054312457162208</v>
      </c>
      <c r="X47" s="12">
        <v>-21.9</v>
      </c>
      <c r="Y47" s="12">
        <v>-6.2000000000000011</v>
      </c>
      <c r="Z47" s="12">
        <v>-30.576947576968191</v>
      </c>
      <c r="AA47" s="12">
        <v>-29.207277179754001</v>
      </c>
      <c r="AB47" s="12">
        <v>-53.817532785705353</v>
      </c>
      <c r="AC47" s="12">
        <v>-53.777879328020781</v>
      </c>
      <c r="BB47" s="8" t="s">
        <v>75</v>
      </c>
    </row>
    <row r="48" spans="1:54" x14ac:dyDescent="0.2">
      <c r="B48" s="1" t="s">
        <v>138</v>
      </c>
      <c r="C48" s="45" t="s">
        <v>187</v>
      </c>
      <c r="G48" s="11">
        <f t="shared" si="41"/>
        <v>62.962670690367858</v>
      </c>
      <c r="H48" s="11">
        <f t="shared" si="41"/>
        <v>33.870359177089135</v>
      </c>
      <c r="I48" s="11"/>
      <c r="J48" s="11"/>
      <c r="K48" s="11"/>
      <c r="L48" s="11"/>
      <c r="M48" s="11"/>
      <c r="N48" s="11"/>
      <c r="V48" s="12">
        <v>-0.63783154454978463</v>
      </c>
      <c r="W48" s="12">
        <v>22.300502234917641</v>
      </c>
      <c r="X48" s="12">
        <v>13.7</v>
      </c>
      <c r="Y48" s="12">
        <v>27.599999999999998</v>
      </c>
      <c r="Z48" s="12">
        <v>10.457557545499998</v>
      </c>
      <c r="AA48" s="12">
        <v>9.1040318737999986</v>
      </c>
      <c r="AB48" s="12">
        <v>5.2918121277891439</v>
      </c>
      <c r="AC48" s="12">
        <v>9.0169576299999949</v>
      </c>
      <c r="BB48" s="8" t="s">
        <v>75</v>
      </c>
    </row>
    <row r="49" spans="2:54" x14ac:dyDescent="0.2">
      <c r="B49" s="1" t="s">
        <v>139</v>
      </c>
      <c r="C49" s="45" t="s">
        <v>187</v>
      </c>
      <c r="G49" s="11">
        <f t="shared" si="41"/>
        <v>-6.7048472732214801</v>
      </c>
      <c r="H49" s="11">
        <f t="shared" si="41"/>
        <v>-5.3623403359829505</v>
      </c>
      <c r="I49" s="11"/>
      <c r="J49" s="11"/>
      <c r="K49" s="11"/>
      <c r="L49" s="11"/>
      <c r="M49" s="11"/>
      <c r="N49" s="11"/>
      <c r="V49" s="12">
        <v>-4.471213355345097</v>
      </c>
      <c r="W49" s="12">
        <v>1.1219512932273594</v>
      </c>
      <c r="X49" s="12">
        <v>0.54884239443332428</v>
      </c>
      <c r="Y49" s="12">
        <v>-3.9044276055370668</v>
      </c>
      <c r="Z49" s="12">
        <v>-2.2952569799956555</v>
      </c>
      <c r="AA49" s="12">
        <v>1.8202890779513992</v>
      </c>
      <c r="AB49" s="12">
        <v>-1.8185403064436614</v>
      </c>
      <c r="AC49" s="12">
        <v>-3.0688321274950328</v>
      </c>
      <c r="BB49" s="8" t="s">
        <v>75</v>
      </c>
    </row>
    <row r="50" spans="2:54" x14ac:dyDescent="0.2">
      <c r="B50" s="1" t="s">
        <v>14</v>
      </c>
      <c r="C50" s="45" t="s">
        <v>187</v>
      </c>
      <c r="G50" s="11">
        <f t="shared" si="41"/>
        <v>-0.72800677673478198</v>
      </c>
      <c r="H50" s="11">
        <f t="shared" si="41"/>
        <v>0</v>
      </c>
      <c r="I50" s="11"/>
      <c r="J50" s="11"/>
      <c r="K50" s="11"/>
      <c r="L50" s="11"/>
      <c r="M50" s="11"/>
      <c r="N50" s="11"/>
      <c r="V50" s="12">
        <v>-2.5784987159090909E-3</v>
      </c>
      <c r="W50" s="12">
        <v>-6.3663279893210439E-2</v>
      </c>
      <c r="X50" s="12">
        <v>-0.23201273540860987</v>
      </c>
      <c r="Y50" s="12">
        <v>-0.42975226271705252</v>
      </c>
      <c r="Z50" s="12">
        <v>0</v>
      </c>
      <c r="AA50" s="12">
        <v>0</v>
      </c>
      <c r="AB50" s="12">
        <v>0</v>
      </c>
      <c r="AC50" s="12">
        <v>0</v>
      </c>
      <c r="BB50" s="8" t="s">
        <v>75</v>
      </c>
    </row>
    <row r="51" spans="2:54" s="2" customFormat="1" x14ac:dyDescent="0.2">
      <c r="B51" s="18" t="s">
        <v>140</v>
      </c>
      <c r="C51" s="45" t="s">
        <v>187</v>
      </c>
      <c r="D51" s="18"/>
      <c r="E51" s="18"/>
      <c r="F51" s="18"/>
      <c r="G51" s="13">
        <f t="shared" si="41"/>
        <v>449.25756303928694</v>
      </c>
      <c r="H51" s="13">
        <f t="shared" si="41"/>
        <v>426.41604545188733</v>
      </c>
      <c r="I51" s="13"/>
      <c r="J51" s="13"/>
      <c r="K51" s="13"/>
      <c r="L51" s="13"/>
      <c r="M51" s="13"/>
      <c r="N51" s="13"/>
      <c r="R51" s="18"/>
      <c r="S51" s="18"/>
      <c r="T51" s="18"/>
      <c r="U51" s="18"/>
      <c r="V51" s="24">
        <f t="shared" ref="V51:AC51" si="46">+SUM(V47:V50,V44,V40)</f>
        <v>73.325367350374378</v>
      </c>
      <c r="W51" s="24">
        <f t="shared" si="46"/>
        <v>144.78238074728552</v>
      </c>
      <c r="X51" s="24">
        <f t="shared" si="46"/>
        <v>114.98613082506571</v>
      </c>
      <c r="Y51" s="24">
        <f t="shared" si="46"/>
        <v>116.16368411656136</v>
      </c>
      <c r="Z51" s="24">
        <f t="shared" si="46"/>
        <v>4.8315112775351565</v>
      </c>
      <c r="AA51" s="24">
        <f t="shared" si="46"/>
        <v>132.25044218154034</v>
      </c>
      <c r="AB51" s="24">
        <f t="shared" si="46"/>
        <v>134.4346953802077</v>
      </c>
      <c r="AC51" s="24">
        <f t="shared" si="46"/>
        <v>154.89939661260411</v>
      </c>
      <c r="BB51" s="83" t="s">
        <v>75</v>
      </c>
    </row>
    <row r="52" spans="2:54" s="25" customFormat="1" x14ac:dyDescent="0.2">
      <c r="B52" s="26" t="s">
        <v>141</v>
      </c>
      <c r="C52" s="45" t="s">
        <v>177</v>
      </c>
      <c r="D52" s="26"/>
      <c r="E52" s="26"/>
      <c r="F52" s="26"/>
      <c r="G52" s="30">
        <f>+G51/G41</f>
        <v>0.4881966890879641</v>
      </c>
      <c r="H52" s="30">
        <f>+H51/H41</f>
        <v>0.34159171771964714</v>
      </c>
      <c r="I52" s="30"/>
      <c r="J52" s="30"/>
      <c r="K52" s="30"/>
      <c r="L52" s="30"/>
      <c r="M52" s="30"/>
      <c r="N52" s="30"/>
      <c r="R52" s="26"/>
      <c r="S52" s="26"/>
      <c r="T52" s="26"/>
      <c r="U52" s="26"/>
      <c r="V52" s="30">
        <f t="shared" ref="V52:AC52" si="47">+V51/V41</f>
        <v>0.37464547391002562</v>
      </c>
      <c r="W52" s="30">
        <f t="shared" si="47"/>
        <v>0.61132791039091594</v>
      </c>
      <c r="X52" s="30">
        <f t="shared" si="47"/>
        <v>0.43004509285362935</v>
      </c>
      <c r="Y52" s="30">
        <f t="shared" si="47"/>
        <v>0.52728492383519432</v>
      </c>
      <c r="Z52" s="30">
        <f t="shared" si="47"/>
        <v>2.0310633348501451E-2</v>
      </c>
      <c r="AA52" s="30">
        <f t="shared" si="47"/>
        <v>0.37891893466556659</v>
      </c>
      <c r="AB52" s="30">
        <f t="shared" si="47"/>
        <v>0.36856085116476112</v>
      </c>
      <c r="AC52" s="30">
        <f t="shared" si="47"/>
        <v>0.52213794132853486</v>
      </c>
      <c r="BB52" s="88" t="s">
        <v>75</v>
      </c>
    </row>
    <row r="53" spans="2:54" x14ac:dyDescent="0.2">
      <c r="B53" s="1" t="s">
        <v>135</v>
      </c>
      <c r="C53" s="45" t="s">
        <v>187</v>
      </c>
      <c r="G53" s="11">
        <f t="shared" ref="G53:H56" si="48">+SUMIFS(53:53,$6:$6,G$3)</f>
        <v>26.74429376522243</v>
      </c>
      <c r="H53" s="11">
        <f t="shared" si="48"/>
        <v>139.09257880940822</v>
      </c>
      <c r="I53" s="11"/>
      <c r="J53" s="11"/>
      <c r="K53" s="11"/>
      <c r="L53" s="11"/>
      <c r="M53" s="11"/>
      <c r="N53" s="11"/>
      <c r="V53" s="12">
        <v>4.7127950414816651</v>
      </c>
      <c r="W53" s="12">
        <v>4.0314987237407642</v>
      </c>
      <c r="X53" s="12">
        <v>19</v>
      </c>
      <c r="Y53" s="12">
        <v>-1</v>
      </c>
      <c r="Z53" s="12">
        <v>88.969594788433497</v>
      </c>
      <c r="AA53" s="12">
        <v>38.599133763907993</v>
      </c>
      <c r="AB53" s="12">
        <v>31.92982568362946</v>
      </c>
      <c r="AC53" s="12">
        <v>-20.405975426562762</v>
      </c>
      <c r="BB53" s="8" t="s">
        <v>75</v>
      </c>
    </row>
    <row r="54" spans="2:54" x14ac:dyDescent="0.2">
      <c r="B54" s="1" t="s">
        <v>139</v>
      </c>
      <c r="C54" s="45" t="s">
        <v>187</v>
      </c>
      <c r="G54" s="11">
        <f t="shared" si="48"/>
        <v>6.7048472732214801</v>
      </c>
      <c r="H54" s="11">
        <f t="shared" si="48"/>
        <v>5.3623403359829505</v>
      </c>
      <c r="I54" s="11"/>
      <c r="J54" s="11"/>
      <c r="K54" s="11"/>
      <c r="L54" s="11"/>
      <c r="M54" s="11"/>
      <c r="N54" s="11"/>
      <c r="V54" s="12">
        <v>4.471213355345097</v>
      </c>
      <c r="W54" s="12">
        <v>-1.1219512932273594</v>
      </c>
      <c r="X54" s="12">
        <v>-0.54884239443332428</v>
      </c>
      <c r="Y54" s="12">
        <v>3.9044276055370668</v>
      </c>
      <c r="Z54" s="12">
        <v>2.2952569799956555</v>
      </c>
      <c r="AA54" s="12">
        <v>-1.8202890779513992</v>
      </c>
      <c r="AB54" s="12">
        <v>1.8185403064436614</v>
      </c>
      <c r="AC54" s="12">
        <v>3.0688321274950328</v>
      </c>
      <c r="BB54" s="8" t="s">
        <v>75</v>
      </c>
    </row>
    <row r="55" spans="2:54" x14ac:dyDescent="0.2">
      <c r="B55" s="1" t="s">
        <v>142</v>
      </c>
      <c r="C55" s="45" t="s">
        <v>187</v>
      </c>
      <c r="G55" s="11">
        <f t="shared" si="48"/>
        <v>-37.592204534510387</v>
      </c>
      <c r="H55" s="11">
        <f t="shared" si="48"/>
        <v>49.720437639692889</v>
      </c>
      <c r="I55" s="11"/>
      <c r="J55" s="11"/>
      <c r="K55" s="11"/>
      <c r="L55" s="11"/>
      <c r="M55" s="11"/>
      <c r="N55" s="11"/>
      <c r="V55" s="12">
        <v>-1.630140809046523</v>
      </c>
      <c r="W55" s="12">
        <v>-19.642826283722428</v>
      </c>
      <c r="X55" s="12">
        <v>-0.94510811678603091</v>
      </c>
      <c r="Y55" s="12">
        <v>-15.374129324955405</v>
      </c>
      <c r="Z55" s="12">
        <v>7.0802660960929273</v>
      </c>
      <c r="AA55" s="12">
        <v>8.124926423599959</v>
      </c>
      <c r="AB55" s="12">
        <v>29.909879770000003</v>
      </c>
      <c r="AC55" s="12">
        <v>4.6053653499999996</v>
      </c>
      <c r="BB55" s="8" t="s">
        <v>75</v>
      </c>
    </row>
    <row r="56" spans="2:54" s="2" customFormat="1" x14ac:dyDescent="0.2">
      <c r="B56" s="18" t="s">
        <v>4</v>
      </c>
      <c r="C56" s="45" t="s">
        <v>187</v>
      </c>
      <c r="D56" s="18"/>
      <c r="E56" s="18"/>
      <c r="F56" s="18"/>
      <c r="G56" s="13">
        <f t="shared" si="48"/>
        <v>445.11449954322052</v>
      </c>
      <c r="H56" s="13">
        <f t="shared" si="48"/>
        <v>620.59140223697125</v>
      </c>
      <c r="I56" s="13"/>
      <c r="J56" s="13"/>
      <c r="K56" s="13"/>
      <c r="L56" s="13"/>
      <c r="M56" s="13"/>
      <c r="N56" s="13"/>
      <c r="R56" s="18"/>
      <c r="S56" s="18"/>
      <c r="T56" s="18"/>
      <c r="U56" s="18"/>
      <c r="V56" s="24">
        <f t="shared" ref="V56:AC56" si="49">+SUM(V53:V55,V51)</f>
        <v>80.87923493815461</v>
      </c>
      <c r="W56" s="24">
        <f t="shared" si="49"/>
        <v>128.0491018940765</v>
      </c>
      <c r="X56" s="24">
        <f t="shared" si="49"/>
        <v>132.49218031384635</v>
      </c>
      <c r="Y56" s="24">
        <f t="shared" si="49"/>
        <v>103.69398239714302</v>
      </c>
      <c r="Z56" s="24">
        <f t="shared" si="49"/>
        <v>103.17662914205724</v>
      </c>
      <c r="AA56" s="24">
        <f t="shared" si="49"/>
        <v>177.15421329109688</v>
      </c>
      <c r="AB56" s="24">
        <f t="shared" si="49"/>
        <v>198.09294114028083</v>
      </c>
      <c r="AC56" s="24">
        <f t="shared" si="49"/>
        <v>142.16761866353639</v>
      </c>
      <c r="AD56" s="68"/>
      <c r="AE56" s="68"/>
      <c r="AF56" s="68"/>
      <c r="AG56" s="68"/>
      <c r="BB56" s="83" t="s">
        <v>75</v>
      </c>
    </row>
    <row r="57" spans="2:54" s="25" customFormat="1" x14ac:dyDescent="0.2">
      <c r="B57" s="26" t="s">
        <v>141</v>
      </c>
      <c r="C57" s="45" t="s">
        <v>177</v>
      </c>
      <c r="D57" s="26"/>
      <c r="E57" s="26"/>
      <c r="F57" s="26"/>
      <c r="G57" s="30">
        <f>+G56/G41</f>
        <v>0.48369452808308872</v>
      </c>
      <c r="H57" s="30">
        <f>+H56/H41</f>
        <v>0.49714096210314923</v>
      </c>
      <c r="I57" s="30"/>
      <c r="J57" s="30"/>
      <c r="K57" s="30"/>
      <c r="L57" s="30"/>
      <c r="M57" s="30"/>
      <c r="N57" s="30"/>
      <c r="R57" s="26"/>
      <c r="S57" s="26"/>
      <c r="T57" s="26"/>
      <c r="U57" s="26"/>
      <c r="V57" s="30">
        <f t="shared" ref="V57:AC57" si="50">+V56/V41</f>
        <v>0.41324087962759493</v>
      </c>
      <c r="W57" s="30">
        <f t="shared" si="50"/>
        <v>0.54067345407847156</v>
      </c>
      <c r="X57" s="30">
        <f t="shared" si="50"/>
        <v>0.49551725566043098</v>
      </c>
      <c r="Y57" s="30">
        <f t="shared" si="50"/>
        <v>0.47068301962239845</v>
      </c>
      <c r="Z57" s="30">
        <f t="shared" si="50"/>
        <v>0.4337323384470535</v>
      </c>
      <c r="AA57" s="30">
        <f t="shared" si="50"/>
        <v>0.5075755110114003</v>
      </c>
      <c r="AB57" s="30">
        <f t="shared" si="50"/>
        <v>0.54308378346756536</v>
      </c>
      <c r="AC57" s="30">
        <f t="shared" si="50"/>
        <v>0.47922141309696309</v>
      </c>
      <c r="BB57" s="88" t="s">
        <v>75</v>
      </c>
    </row>
    <row r="58" spans="2:54" x14ac:dyDescent="0.2">
      <c r="B58" s="22" t="s">
        <v>143</v>
      </c>
      <c r="C58" s="45" t="s">
        <v>187</v>
      </c>
      <c r="D58" s="22"/>
      <c r="E58" s="22"/>
      <c r="F58" s="22"/>
      <c r="G58" s="11">
        <f>+SUMIFS(58:58,$6:$6,G$3)</f>
        <v>15.899522603703844</v>
      </c>
      <c r="H58" s="11">
        <f>+SUMIFS(58:58,$6:$6,H$3)</f>
        <v>16.81199739974732</v>
      </c>
      <c r="I58" s="11"/>
      <c r="J58" s="11"/>
      <c r="K58" s="11"/>
      <c r="L58" s="11"/>
      <c r="M58" s="11"/>
      <c r="N58" s="11"/>
      <c r="R58" s="22"/>
      <c r="S58" s="22"/>
      <c r="T58" s="22"/>
      <c r="U58" s="22"/>
      <c r="V58" s="12">
        <v>1.0196810636826248</v>
      </c>
      <c r="W58" s="12">
        <v>6.7258377262303117</v>
      </c>
      <c r="X58" s="12">
        <v>5.439838109816387</v>
      </c>
      <c r="Y58" s="12">
        <v>2.7141657039745191</v>
      </c>
      <c r="Z58" s="12">
        <v>1.1678373576068588</v>
      </c>
      <c r="AA58" s="12">
        <v>10.112350264303581</v>
      </c>
      <c r="AB58" s="12">
        <v>3.9096253856970669</v>
      </c>
      <c r="AC58" s="12">
        <v>1.6221843921398116</v>
      </c>
      <c r="BB58" s="8" t="s">
        <v>75</v>
      </c>
    </row>
    <row r="59" spans="2:54" s="2" customFormat="1" x14ac:dyDescent="0.2">
      <c r="B59" s="18" t="s">
        <v>144</v>
      </c>
      <c r="C59" s="45" t="s">
        <v>187</v>
      </c>
      <c r="D59" s="18"/>
      <c r="E59" s="18"/>
      <c r="F59" s="18"/>
      <c r="G59" s="13">
        <f>+SUMIFS(59:59,$6:$6,G$3)</f>
        <v>461.01402214692433</v>
      </c>
      <c r="H59" s="13">
        <f>+SUMIFS(59:59,$6:$6,H$3)</f>
        <v>637.40339963671863</v>
      </c>
      <c r="I59" s="13">
        <f t="shared" ref="I59:N59" ca="1" si="51">+SUMIFS(59:59,$6:$6,I$3)</f>
        <v>782.97671964955566</v>
      </c>
      <c r="J59" s="13">
        <f t="shared" ca="1" si="51"/>
        <v>929.0189148131301</v>
      </c>
      <c r="K59" s="13">
        <f t="shared" ca="1" si="51"/>
        <v>991.62370796281516</v>
      </c>
      <c r="L59" s="13">
        <f t="shared" ca="1" si="51"/>
        <v>1113.9571052678884</v>
      </c>
      <c r="M59" s="13">
        <f t="shared" ca="1" si="51"/>
        <v>1228.7674550929478</v>
      </c>
      <c r="N59" s="13">
        <f t="shared" ca="1" si="51"/>
        <v>1350.6187849424061</v>
      </c>
      <c r="P59" s="97">
        <f ca="1">+IFERROR((N59/I59)^(1/5)-1,"NM")</f>
        <v>0.11521033956083127</v>
      </c>
      <c r="R59" s="18"/>
      <c r="S59" s="18"/>
      <c r="T59" s="18"/>
      <c r="U59" s="18"/>
      <c r="V59" s="24">
        <f t="shared" ref="V59:AC59" si="52">+V58+V56</f>
        <v>81.898916001837236</v>
      </c>
      <c r="W59" s="24">
        <f t="shared" si="52"/>
        <v>134.77493962030681</v>
      </c>
      <c r="X59" s="24">
        <f t="shared" si="52"/>
        <v>137.93201842366273</v>
      </c>
      <c r="Y59" s="24">
        <f t="shared" si="52"/>
        <v>106.40814810111753</v>
      </c>
      <c r="Z59" s="24">
        <f t="shared" si="52"/>
        <v>104.34446649966409</v>
      </c>
      <c r="AA59" s="24">
        <f t="shared" si="52"/>
        <v>187.26656355540047</v>
      </c>
      <c r="AB59" s="24">
        <f t="shared" si="52"/>
        <v>202.0025665259779</v>
      </c>
      <c r="AC59" s="24">
        <f t="shared" si="52"/>
        <v>143.7898030556762</v>
      </c>
      <c r="AD59" s="114">
        <f ca="1">+AD83+AD92+AD101+AD110+AD127+AD138</f>
        <v>161.61489824026162</v>
      </c>
      <c r="AE59" s="13">
        <f t="shared" ref="AE59:BA59" ca="1" si="53">+AE83+AE92+AE101+AE110+AE127+AE138</f>
        <v>246.52241548370301</v>
      </c>
      <c r="AF59" s="13">
        <f t="shared" ca="1" si="53"/>
        <v>243.59166941154521</v>
      </c>
      <c r="AG59" s="13">
        <f t="shared" ca="1" si="53"/>
        <v>131.24773651404573</v>
      </c>
      <c r="AH59" s="13">
        <f t="shared" ca="1" si="53"/>
        <v>186.0192275751044</v>
      </c>
      <c r="AI59" s="13">
        <f t="shared" ca="1" si="53"/>
        <v>297.7925784060655</v>
      </c>
      <c r="AJ59" s="13">
        <f t="shared" ca="1" si="53"/>
        <v>284.90982522054344</v>
      </c>
      <c r="AK59" s="13">
        <f t="shared" ca="1" si="53"/>
        <v>160.29728361141676</v>
      </c>
      <c r="AL59" s="13">
        <f t="shared" ca="1" si="53"/>
        <v>194.06073869807096</v>
      </c>
      <c r="AM59" s="13">
        <f t="shared" ca="1" si="53"/>
        <v>323.96501222235059</v>
      </c>
      <c r="AN59" s="13">
        <f t="shared" ca="1" si="53"/>
        <v>306.20107846618549</v>
      </c>
      <c r="AO59" s="13">
        <f t="shared" ca="1" si="53"/>
        <v>167.39687857620805</v>
      </c>
      <c r="AP59" s="13">
        <f t="shared" ca="1" si="53"/>
        <v>217.00375975731865</v>
      </c>
      <c r="AQ59" s="13">
        <f t="shared" ca="1" si="53"/>
        <v>364.06434451950042</v>
      </c>
      <c r="AR59" s="13">
        <f t="shared" ca="1" si="53"/>
        <v>343.92073241853211</v>
      </c>
      <c r="AS59" s="13">
        <f t="shared" ca="1" si="53"/>
        <v>188.96826857253714</v>
      </c>
      <c r="AT59" s="13">
        <f t="shared" ca="1" si="53"/>
        <v>238.12415264066172</v>
      </c>
      <c r="AU59" s="13">
        <f t="shared" ca="1" si="53"/>
        <v>402.72987109544317</v>
      </c>
      <c r="AV59" s="13">
        <f t="shared" ca="1" si="53"/>
        <v>380.80069229349061</v>
      </c>
      <c r="AW59" s="13">
        <f t="shared" ca="1" si="53"/>
        <v>207.11273906335231</v>
      </c>
      <c r="AX59" s="13">
        <f t="shared" ca="1" si="53"/>
        <v>260.4787984268462</v>
      </c>
      <c r="AY59" s="13">
        <f t="shared" ca="1" si="53"/>
        <v>443.82185562516997</v>
      </c>
      <c r="AZ59" s="13">
        <f t="shared" ca="1" si="53"/>
        <v>419.98263289304185</v>
      </c>
      <c r="BA59" s="13">
        <f t="shared" ca="1" si="53"/>
        <v>226.33549799734803</v>
      </c>
      <c r="BB59" s="83" t="s">
        <v>75</v>
      </c>
    </row>
    <row r="60" spans="2:54" s="32" customFormat="1" x14ac:dyDescent="0.2">
      <c r="B60" s="26" t="s">
        <v>141</v>
      </c>
      <c r="C60" s="45" t="s">
        <v>177</v>
      </c>
      <c r="D60" s="26"/>
      <c r="E60" s="26"/>
      <c r="F60" s="26"/>
      <c r="G60" s="30">
        <f>+G59/G41</f>
        <v>0.50097213213875746</v>
      </c>
      <c r="H60" s="30">
        <f>+H59/H41</f>
        <v>0.51060865200677863</v>
      </c>
      <c r="I60" s="30">
        <f t="shared" ref="I60:N60" ca="1" si="54">+I59/I41</f>
        <v>0.52775752246029251</v>
      </c>
      <c r="J60" s="30">
        <f t="shared" ca="1" si="54"/>
        <v>0.55610162973402866</v>
      </c>
      <c r="K60" s="30">
        <f t="shared" ca="1" si="54"/>
        <v>0.5469397396126694</v>
      </c>
      <c r="L60" s="30">
        <f t="shared" ca="1" si="54"/>
        <v>0.56529768962046845</v>
      </c>
      <c r="M60" s="30">
        <f t="shared" ca="1" si="54"/>
        <v>0.5728927349461842</v>
      </c>
      <c r="N60" s="30">
        <f t="shared" ca="1" si="54"/>
        <v>0.57955056995019327</v>
      </c>
      <c r="R60" s="26"/>
      <c r="S60" s="26"/>
      <c r="T60" s="26"/>
      <c r="U60" s="26"/>
      <c r="V60" s="30">
        <f t="shared" ref="V60:AC60" si="55">+V59/V41</f>
        <v>0.41845079413801306</v>
      </c>
      <c r="W60" s="30">
        <f t="shared" si="55"/>
        <v>0.56907257489401908</v>
      </c>
      <c r="X60" s="30">
        <f t="shared" si="55"/>
        <v>0.51586210654165343</v>
      </c>
      <c r="Y60" s="30">
        <f t="shared" si="55"/>
        <v>0.48300303742641593</v>
      </c>
      <c r="Z60" s="30">
        <f t="shared" si="55"/>
        <v>0.43864167530223652</v>
      </c>
      <c r="AA60" s="30">
        <f t="shared" si="55"/>
        <v>0.53654903220277084</v>
      </c>
      <c r="AB60" s="30">
        <f t="shared" si="55"/>
        <v>0.55380225800877381</v>
      </c>
      <c r="AC60" s="30">
        <f t="shared" si="55"/>
        <v>0.48468950424185941</v>
      </c>
      <c r="AD60" s="30">
        <f t="shared" ref="AD60:BA60" ca="1" si="56">+AD59/AD41</f>
        <v>0.49390049588056206</v>
      </c>
      <c r="AE60" s="30">
        <f t="shared" ca="1" si="56"/>
        <v>0.57159086255125802</v>
      </c>
      <c r="AF60" s="30">
        <f t="shared" ca="1" si="56"/>
        <v>0.5786435553680751</v>
      </c>
      <c r="AG60" s="30">
        <f t="shared" ca="1" si="56"/>
        <v>0.43158221699146715</v>
      </c>
      <c r="AH60" s="30">
        <f t="shared" ca="1" si="56"/>
        <v>0.50497770585238333</v>
      </c>
      <c r="AI60" s="30">
        <f t="shared" ca="1" si="56"/>
        <v>0.61332225472791801</v>
      </c>
      <c r="AJ60" s="30">
        <f t="shared" ca="1" si="56"/>
        <v>0.60108276890137302</v>
      </c>
      <c r="AK60" s="30">
        <f t="shared" ca="1" si="56"/>
        <v>0.46776680402678855</v>
      </c>
      <c r="AL60" s="30">
        <f t="shared" ca="1" si="56"/>
        <v>0.48780707055253553</v>
      </c>
      <c r="AM60" s="30">
        <f t="shared" ca="1" si="56"/>
        <v>0.61212503205282975</v>
      </c>
      <c r="AN60" s="30">
        <f t="shared" ca="1" si="56"/>
        <v>0.59278693241379254</v>
      </c>
      <c r="AO60" s="30">
        <f t="shared" ca="1" si="56"/>
        <v>0.45312691233896285</v>
      </c>
      <c r="AP60" s="30">
        <f t="shared" ca="1" si="56"/>
        <v>0.50431055233843303</v>
      </c>
      <c r="AQ60" s="30">
        <f t="shared" ca="1" si="56"/>
        <v>0.63021672324147482</v>
      </c>
      <c r="AR60" s="30">
        <f t="shared" ca="1" si="56"/>
        <v>0.61010663592676251</v>
      </c>
      <c r="AS60" s="30">
        <f t="shared" ca="1" si="56"/>
        <v>0.47374450808717145</v>
      </c>
      <c r="AT60" s="30">
        <f t="shared" ca="1" si="56"/>
        <v>0.51085526382445756</v>
      </c>
      <c r="AU60" s="30">
        <f t="shared" ca="1" si="56"/>
        <v>0.63786357822790718</v>
      </c>
      <c r="AV60" s="30">
        <f t="shared" ca="1" si="56"/>
        <v>0.61818910913041647</v>
      </c>
      <c r="AW60" s="30">
        <f t="shared" ca="1" si="56"/>
        <v>0.48014783590527865</v>
      </c>
      <c r="AX60" s="30">
        <f t="shared" ca="1" si="56"/>
        <v>0.51655997899943451</v>
      </c>
      <c r="AY60" s="30">
        <f t="shared" ca="1" si="56"/>
        <v>0.64453258941950997</v>
      </c>
      <c r="AZ60" s="30">
        <f t="shared" ca="1" si="56"/>
        <v>0.62523941954631579</v>
      </c>
      <c r="BA60" s="30">
        <f t="shared" ca="1" si="56"/>
        <v>0.48581060179266217</v>
      </c>
      <c r="BB60" s="89" t="s">
        <v>75</v>
      </c>
    </row>
    <row r="61" spans="2:54" x14ac:dyDescent="0.2">
      <c r="G61" s="11"/>
      <c r="H61" s="134"/>
      <c r="V61" s="12"/>
      <c r="W61" s="12"/>
      <c r="X61" s="12"/>
      <c r="Y61" s="12"/>
      <c r="Z61" s="12"/>
      <c r="AA61" s="12"/>
      <c r="AB61" s="12"/>
      <c r="AC61" s="12"/>
      <c r="AD61" s="114"/>
      <c r="BB61" s="8" t="s">
        <v>75</v>
      </c>
    </row>
    <row r="62" spans="2:54" s="2" customFormat="1" x14ac:dyDescent="0.2">
      <c r="B62" s="2" t="s">
        <v>319</v>
      </c>
      <c r="C62" s="81" t="s">
        <v>187</v>
      </c>
      <c r="G62" s="13">
        <f>+G59</f>
        <v>461.01402214692433</v>
      </c>
      <c r="H62" s="13">
        <f t="shared" ref="H62:N62" si="57">+H59</f>
        <v>637.40339963671863</v>
      </c>
      <c r="I62" s="13">
        <f t="shared" ca="1" si="57"/>
        <v>782.97671964955566</v>
      </c>
      <c r="J62" s="13">
        <f t="shared" ca="1" si="57"/>
        <v>929.0189148131301</v>
      </c>
      <c r="K62" s="13">
        <f t="shared" ca="1" si="57"/>
        <v>991.62370796281516</v>
      </c>
      <c r="L62" s="13">
        <f t="shared" ca="1" si="57"/>
        <v>1113.9571052678884</v>
      </c>
      <c r="M62" s="13">
        <f t="shared" ca="1" si="57"/>
        <v>1228.7674550929478</v>
      </c>
      <c r="N62" s="13">
        <f t="shared" ca="1" si="57"/>
        <v>1350.6187849424061</v>
      </c>
      <c r="V62" s="13"/>
      <c r="W62" s="16"/>
      <c r="X62" s="16"/>
      <c r="Y62" s="13">
        <f t="shared" ref="Y62:BA62" si="58">+SUM(V59:Y59)</f>
        <v>461.01402214692433</v>
      </c>
      <c r="Z62" s="13">
        <f t="shared" si="58"/>
        <v>483.45957264475112</v>
      </c>
      <c r="AA62" s="13">
        <f t="shared" si="58"/>
        <v>535.9511965798448</v>
      </c>
      <c r="AB62" s="13">
        <f t="shared" si="58"/>
        <v>600.02174468216003</v>
      </c>
      <c r="AC62" s="13">
        <f t="shared" si="58"/>
        <v>637.40339963671863</v>
      </c>
      <c r="AD62" s="13">
        <f t="shared" ca="1" si="58"/>
        <v>694.67383137731611</v>
      </c>
      <c r="AE62" s="13">
        <f t="shared" ca="1" si="58"/>
        <v>753.92968330561871</v>
      </c>
      <c r="AF62" s="13">
        <f t="shared" ca="1" si="58"/>
        <v>795.518786191186</v>
      </c>
      <c r="AG62" s="13">
        <f t="shared" ca="1" si="58"/>
        <v>782.97671964955566</v>
      </c>
      <c r="AH62" s="13">
        <f t="shared" ca="1" si="58"/>
        <v>807.38104898439838</v>
      </c>
      <c r="AI62" s="13">
        <f t="shared" ca="1" si="58"/>
        <v>858.65121190676086</v>
      </c>
      <c r="AJ62" s="13">
        <f t="shared" ca="1" si="58"/>
        <v>899.96936771575906</v>
      </c>
      <c r="AK62" s="13">
        <f t="shared" ca="1" si="58"/>
        <v>929.0189148131301</v>
      </c>
      <c r="AL62" s="13">
        <f t="shared" ca="1" si="58"/>
        <v>937.06042593609664</v>
      </c>
      <c r="AM62" s="13">
        <f t="shared" ca="1" si="58"/>
        <v>963.23285975238173</v>
      </c>
      <c r="AN62" s="13">
        <f t="shared" ca="1" si="58"/>
        <v>984.52411299802384</v>
      </c>
      <c r="AO62" s="13">
        <f t="shared" ca="1" si="58"/>
        <v>991.62370796281516</v>
      </c>
      <c r="AP62" s="13">
        <f t="shared" ca="1" si="58"/>
        <v>1014.5667290220629</v>
      </c>
      <c r="AQ62" s="13">
        <f t="shared" ca="1" si="58"/>
        <v>1054.6660613192125</v>
      </c>
      <c r="AR62" s="13">
        <f t="shared" ca="1" si="58"/>
        <v>1092.3857152715591</v>
      </c>
      <c r="AS62" s="13">
        <f t="shared" ca="1" si="58"/>
        <v>1113.9571052678884</v>
      </c>
      <c r="AT62" s="13">
        <f t="shared" ca="1" si="58"/>
        <v>1135.0774981512313</v>
      </c>
      <c r="AU62" s="13">
        <f t="shared" ca="1" si="58"/>
        <v>1173.7430247271741</v>
      </c>
      <c r="AV62" s="13">
        <f t="shared" ca="1" si="58"/>
        <v>1210.6229846021326</v>
      </c>
      <c r="AW62" s="13">
        <f t="shared" ca="1" si="58"/>
        <v>1228.7674550929478</v>
      </c>
      <c r="AX62" s="13">
        <f t="shared" ca="1" si="58"/>
        <v>1251.1221008791324</v>
      </c>
      <c r="AY62" s="13">
        <f t="shared" ca="1" si="58"/>
        <v>1292.2140854088591</v>
      </c>
      <c r="AZ62" s="13">
        <f t="shared" ca="1" si="58"/>
        <v>1331.3960260084104</v>
      </c>
      <c r="BA62" s="13">
        <f t="shared" ca="1" si="58"/>
        <v>1350.6187849424061</v>
      </c>
      <c r="BB62" s="8" t="s">
        <v>75</v>
      </c>
    </row>
    <row r="63" spans="2:54" s="2" customFormat="1" x14ac:dyDescent="0.2">
      <c r="B63" s="2" t="s">
        <v>423</v>
      </c>
      <c r="C63" s="81" t="s">
        <v>187</v>
      </c>
      <c r="G63" s="13">
        <f>+H62</f>
        <v>637.40339963671863</v>
      </c>
      <c r="H63" s="13">
        <f t="shared" ref="H63:M63" ca="1" si="59">+I62</f>
        <v>782.97671964955566</v>
      </c>
      <c r="I63" s="13">
        <f t="shared" ca="1" si="59"/>
        <v>929.0189148131301</v>
      </c>
      <c r="J63" s="13">
        <f t="shared" ca="1" si="59"/>
        <v>991.62370796281516</v>
      </c>
      <c r="K63" s="13">
        <f t="shared" ca="1" si="59"/>
        <v>1113.9571052678884</v>
      </c>
      <c r="L63" s="13">
        <f t="shared" ca="1" si="59"/>
        <v>1228.7674550929478</v>
      </c>
      <c r="M63" s="13">
        <f t="shared" ca="1" si="59"/>
        <v>1350.6187849424061</v>
      </c>
      <c r="N63" s="114">
        <f ca="1">+N62*(N62/M62)</f>
        <v>1484.5535619278876</v>
      </c>
      <c r="V63" s="13">
        <f t="shared" ref="V63:AX63" si="60">+SUM(V59:Y59)</f>
        <v>461.01402214692433</v>
      </c>
      <c r="W63" s="13">
        <f t="shared" si="60"/>
        <v>483.45957264475112</v>
      </c>
      <c r="X63" s="13">
        <f t="shared" si="60"/>
        <v>535.9511965798448</v>
      </c>
      <c r="Y63" s="13">
        <f t="shared" si="60"/>
        <v>600.02174468216003</v>
      </c>
      <c r="Z63" s="13">
        <f t="shared" si="60"/>
        <v>637.40339963671863</v>
      </c>
      <c r="AA63" s="13">
        <f t="shared" ca="1" si="60"/>
        <v>694.67383137731611</v>
      </c>
      <c r="AB63" s="13">
        <f t="shared" ca="1" si="60"/>
        <v>753.92968330561871</v>
      </c>
      <c r="AC63" s="13">
        <f t="shared" ca="1" si="60"/>
        <v>795.518786191186</v>
      </c>
      <c r="AD63" s="13">
        <f t="shared" ca="1" si="60"/>
        <v>782.97671964955566</v>
      </c>
      <c r="AE63" s="13">
        <f t="shared" ca="1" si="60"/>
        <v>807.38104898439838</v>
      </c>
      <c r="AF63" s="13">
        <f t="shared" ca="1" si="60"/>
        <v>858.65121190676086</v>
      </c>
      <c r="AG63" s="13">
        <f t="shared" ca="1" si="60"/>
        <v>899.96936771575906</v>
      </c>
      <c r="AH63" s="13">
        <f t="shared" ca="1" si="60"/>
        <v>929.0189148131301</v>
      </c>
      <c r="AI63" s="13">
        <f t="shared" ca="1" si="60"/>
        <v>937.06042593609664</v>
      </c>
      <c r="AJ63" s="13">
        <f t="shared" ca="1" si="60"/>
        <v>963.23285975238173</v>
      </c>
      <c r="AK63" s="13">
        <f t="shared" ca="1" si="60"/>
        <v>984.52411299802384</v>
      </c>
      <c r="AL63" s="13">
        <f t="shared" ca="1" si="60"/>
        <v>991.62370796281516</v>
      </c>
      <c r="AM63" s="13">
        <f t="shared" ca="1" si="60"/>
        <v>1014.5667290220629</v>
      </c>
      <c r="AN63" s="13">
        <f t="shared" ca="1" si="60"/>
        <v>1054.6660613192125</v>
      </c>
      <c r="AO63" s="13">
        <f t="shared" ca="1" si="60"/>
        <v>1092.3857152715591</v>
      </c>
      <c r="AP63" s="13">
        <f t="shared" ca="1" si="60"/>
        <v>1113.9571052678884</v>
      </c>
      <c r="AQ63" s="13">
        <f t="shared" ca="1" si="60"/>
        <v>1135.0774981512313</v>
      </c>
      <c r="AR63" s="13">
        <f t="shared" ca="1" si="60"/>
        <v>1173.7430247271741</v>
      </c>
      <c r="AS63" s="13">
        <f t="shared" ca="1" si="60"/>
        <v>1210.6229846021326</v>
      </c>
      <c r="AT63" s="13">
        <f t="shared" ca="1" si="60"/>
        <v>1228.7674550929478</v>
      </c>
      <c r="AU63" s="13">
        <f t="shared" ca="1" si="60"/>
        <v>1251.1221008791324</v>
      </c>
      <c r="AV63" s="13">
        <f t="shared" ca="1" si="60"/>
        <v>1292.2140854088591</v>
      </c>
      <c r="AW63" s="13">
        <f t="shared" ca="1" si="60"/>
        <v>1331.3960260084104</v>
      </c>
      <c r="AX63" s="13">
        <f t="shared" ca="1" si="60"/>
        <v>1350.6187849424061</v>
      </c>
      <c r="AY63" s="114">
        <f ca="1">+($BA63-$AX63)/3+AX63</f>
        <v>1395.2637106042332</v>
      </c>
      <c r="AZ63" s="114">
        <f ca="1">+($BA63-$AX63)/3+AY63</f>
        <v>1439.9086362660603</v>
      </c>
      <c r="BA63" s="114">
        <f ca="1">+$N63</f>
        <v>1484.5535619278876</v>
      </c>
      <c r="BB63" s="8" t="s">
        <v>75</v>
      </c>
    </row>
    <row r="64" spans="2:54" s="2" customFormat="1" x14ac:dyDescent="0.2">
      <c r="C64" s="81"/>
      <c r="G64" s="13"/>
      <c r="H64" s="13"/>
      <c r="I64" s="13"/>
      <c r="J64" s="13"/>
      <c r="K64" s="13"/>
      <c r="L64" s="13"/>
      <c r="M64" s="13"/>
      <c r="N64" s="114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14"/>
      <c r="AZ64" s="114"/>
      <c r="BA64" s="114"/>
      <c r="BB64" s="8" t="s">
        <v>75</v>
      </c>
    </row>
    <row r="65" spans="1:54" x14ac:dyDescent="0.2">
      <c r="B65" s="1" t="s">
        <v>480</v>
      </c>
      <c r="C65" s="45" t="s">
        <v>187</v>
      </c>
      <c r="G65" s="11">
        <f t="shared" ref="G65:M65" si="61">+SUMIFS(65:65,3:3,"4Q"&amp;RIGHT(G3,2))</f>
        <v>299.38093830827353</v>
      </c>
      <c r="H65" s="11">
        <f t="shared" si="61"/>
        <v>414.00825415671864</v>
      </c>
      <c r="I65" s="11">
        <f t="shared" ca="1" si="61"/>
        <v>535.52735839703996</v>
      </c>
      <c r="J65" s="11">
        <f t="shared" ca="1" si="61"/>
        <v>674.14607272303886</v>
      </c>
      <c r="K65" s="11">
        <f t="shared" ca="1" si="61"/>
        <v>729.10468061002121</v>
      </c>
      <c r="L65" s="11">
        <f t="shared" ca="1" si="61"/>
        <v>843.56250709451069</v>
      </c>
      <c r="M65" s="11">
        <f t="shared" ca="1" si="61"/>
        <v>950.26101897436865</v>
      </c>
      <c r="N65" s="11">
        <f ca="1">+SUMIFS(65:65,3:3,"4Q"&amp;RIGHT(N3,2))</f>
        <v>1063.7571557402698</v>
      </c>
      <c r="V65" s="11"/>
      <c r="W65" s="12"/>
      <c r="X65" s="12"/>
      <c r="Y65" s="11">
        <f t="shared" ref="Y65:BA65" si="62">+SUM(V59:Y59)-SUM(V98:Y98)</f>
        <v>299.38093830827353</v>
      </c>
      <c r="Z65" s="11">
        <f t="shared" si="62"/>
        <v>302.73792123610031</v>
      </c>
      <c r="AA65" s="11">
        <f t="shared" si="62"/>
        <v>337.48320157984483</v>
      </c>
      <c r="AB65" s="11">
        <f t="shared" si="62"/>
        <v>372.12625937216006</v>
      </c>
      <c r="AC65" s="11">
        <f t="shared" si="62"/>
        <v>414.00825415671864</v>
      </c>
      <c r="AD65" s="11">
        <f t="shared" ca="1" si="62"/>
        <v>457.05600980418717</v>
      </c>
      <c r="AE65" s="11">
        <f t="shared" ca="1" si="62"/>
        <v>505.38893952936087</v>
      </c>
      <c r="AF65" s="11">
        <f t="shared" ca="1" si="62"/>
        <v>545.21148170179913</v>
      </c>
      <c r="AG65" s="11">
        <f t="shared" ca="1" si="62"/>
        <v>535.52735839703996</v>
      </c>
      <c r="AH65" s="11">
        <f t="shared" ca="1" si="62"/>
        <v>558.07581752248871</v>
      </c>
      <c r="AI65" s="11">
        <f t="shared" ca="1" si="62"/>
        <v>607.49011023545734</v>
      </c>
      <c r="AJ65" s="11">
        <f t="shared" ca="1" si="62"/>
        <v>646.95239583506168</v>
      </c>
      <c r="AK65" s="11">
        <f t="shared" ca="1" si="62"/>
        <v>674.14607272303886</v>
      </c>
      <c r="AL65" s="11">
        <f t="shared" ca="1" si="62"/>
        <v>680.27603753032975</v>
      </c>
      <c r="AM65" s="11">
        <f t="shared" ca="1" si="62"/>
        <v>704.53692503093907</v>
      </c>
      <c r="AN65" s="11">
        <f t="shared" ca="1" si="62"/>
        <v>723.91663196090553</v>
      </c>
      <c r="AO65" s="11">
        <f t="shared" ca="1" si="62"/>
        <v>729.10468061002121</v>
      </c>
      <c r="AP65" s="11">
        <f t="shared" ca="1" si="62"/>
        <v>750.07880896412303</v>
      </c>
      <c r="AQ65" s="11">
        <f t="shared" ca="1" si="62"/>
        <v>788.20924855612668</v>
      </c>
      <c r="AR65" s="11">
        <f t="shared" ca="1" si="62"/>
        <v>823.96000980332724</v>
      </c>
      <c r="AS65" s="11">
        <f t="shared" ca="1" si="62"/>
        <v>843.56250709451069</v>
      </c>
      <c r="AT65" s="11">
        <f t="shared" ca="1" si="62"/>
        <v>862.65494049155313</v>
      </c>
      <c r="AU65" s="11">
        <f t="shared" ca="1" si="62"/>
        <v>899.29250758119565</v>
      </c>
      <c r="AV65" s="11">
        <f t="shared" ca="1" si="62"/>
        <v>934.14450796985386</v>
      </c>
      <c r="AW65" s="11">
        <f t="shared" ca="1" si="62"/>
        <v>950.26101897436865</v>
      </c>
      <c r="AX65" s="11">
        <f t="shared" ca="1" si="62"/>
        <v>970.52686648966403</v>
      </c>
      <c r="AY65" s="11">
        <f t="shared" ca="1" si="62"/>
        <v>1009.5300527485014</v>
      </c>
      <c r="AZ65" s="11">
        <f t="shared" ca="1" si="62"/>
        <v>1046.6231950771635</v>
      </c>
      <c r="BA65" s="11">
        <f t="shared" ca="1" si="62"/>
        <v>1063.7571557402698</v>
      </c>
      <c r="BB65" s="8" t="s">
        <v>75</v>
      </c>
    </row>
    <row r="66" spans="1:54" s="2" customFormat="1" x14ac:dyDescent="0.2">
      <c r="C66" s="81"/>
      <c r="G66" s="13"/>
      <c r="H66" s="13"/>
      <c r="I66" s="13"/>
      <c r="J66" s="13"/>
      <c r="K66" s="13"/>
      <c r="L66" s="13"/>
      <c r="M66" s="13"/>
      <c r="N66" s="114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14"/>
      <c r="AZ66" s="114"/>
      <c r="BA66" s="114"/>
      <c r="BB66" s="8" t="s">
        <v>75</v>
      </c>
    </row>
    <row r="67" spans="1:54" s="35" customFormat="1" x14ac:dyDescent="0.2">
      <c r="A67" s="1" t="s">
        <v>75</v>
      </c>
      <c r="B67" s="36" t="s">
        <v>436</v>
      </c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BB67" s="90" t="s">
        <v>75</v>
      </c>
    </row>
    <row r="68" spans="1:54" x14ac:dyDescent="0.2">
      <c r="B68" s="1" t="s">
        <v>433</v>
      </c>
      <c r="C68" s="45"/>
      <c r="H68" s="11">
        <f t="shared" ref="H68:N68" ca="1" si="63">+H27-G27</f>
        <v>2016.5799106816321</v>
      </c>
      <c r="I68" s="11">
        <f t="shared" ca="1" si="63"/>
        <v>1083.5839328846014</v>
      </c>
      <c r="J68" s="11">
        <f t="shared" ca="1" si="63"/>
        <v>2287.087830645738</v>
      </c>
      <c r="K68" s="11">
        <f t="shared" ca="1" si="63"/>
        <v>848.81761505883151</v>
      </c>
      <c r="L68" s="11">
        <f t="shared" ca="1" si="63"/>
        <v>904.26436301848298</v>
      </c>
      <c r="M68" s="11">
        <f t="shared" ca="1" si="63"/>
        <v>963.32370849008294</v>
      </c>
      <c r="N68" s="11">
        <f t="shared" ca="1" si="63"/>
        <v>970.53335289434108</v>
      </c>
      <c r="BB68" s="8" t="s">
        <v>75</v>
      </c>
    </row>
    <row r="69" spans="1:54" x14ac:dyDescent="0.2">
      <c r="B69" s="1" t="s">
        <v>347</v>
      </c>
      <c r="C69" s="45"/>
      <c r="H69" s="169">
        <f t="shared" ref="H69:N69" ca="1" si="64">+H41*1000/H27</f>
        <v>102.26280149130028</v>
      </c>
      <c r="I69" s="169">
        <f t="shared" ca="1" si="64"/>
        <v>111.62738333365733</v>
      </c>
      <c r="J69" s="169">
        <f t="shared" ca="1" si="64"/>
        <v>107.24280694873212</v>
      </c>
      <c r="K69" s="169">
        <f t="shared" ca="1" si="64"/>
        <v>110.37303383301166</v>
      </c>
      <c r="L69" s="169">
        <f t="shared" ca="1" si="64"/>
        <v>113.703571203644</v>
      </c>
      <c r="M69" s="169">
        <f t="shared" ca="1" si="64"/>
        <v>117.24279285465769</v>
      </c>
      <c r="N69" s="169">
        <f t="shared" ca="1" si="64"/>
        <v>120.9710577371556</v>
      </c>
      <c r="BB69" s="8" t="s">
        <v>75</v>
      </c>
    </row>
    <row r="70" spans="1:54" x14ac:dyDescent="0.2">
      <c r="B70" s="1" t="s">
        <v>438</v>
      </c>
      <c r="C70" s="45"/>
      <c r="H70" s="103">
        <f>+H60-G60</f>
        <v>9.636519868021165E-3</v>
      </c>
      <c r="I70" s="103">
        <f t="shared" ref="I70:N70" ca="1" si="65">+I60-H60</f>
        <v>1.7148870453513876E-2</v>
      </c>
      <c r="J70" s="103">
        <f t="shared" ca="1" si="65"/>
        <v>2.8344107273736152E-2</v>
      </c>
      <c r="K70" s="103">
        <f t="shared" ca="1" si="65"/>
        <v>-9.1618901213592618E-3</v>
      </c>
      <c r="L70" s="103">
        <f t="shared" ca="1" si="65"/>
        <v>1.8357950007799051E-2</v>
      </c>
      <c r="M70" s="103">
        <f t="shared" ca="1" si="65"/>
        <v>7.5950453257157546E-3</v>
      </c>
      <c r="N70" s="103">
        <f t="shared" ca="1" si="65"/>
        <v>6.6578350040090717E-3</v>
      </c>
      <c r="BB70" s="8" t="s">
        <v>75</v>
      </c>
    </row>
    <row r="71" spans="1:54" x14ac:dyDescent="0.2">
      <c r="C71" s="45"/>
      <c r="BB71" s="8" t="s">
        <v>75</v>
      </c>
    </row>
    <row r="72" spans="1:54" x14ac:dyDescent="0.2">
      <c r="B72" s="1" t="s">
        <v>433</v>
      </c>
      <c r="C72" s="45" t="s">
        <v>187</v>
      </c>
      <c r="H72" s="11"/>
      <c r="I72" s="11">
        <f t="shared" ref="I72:N72" ca="1" si="66">+(I68*H69/1000)*H60</f>
        <v>56.580712529038699</v>
      </c>
      <c r="J72" s="11">
        <f t="shared" ca="1" si="66"/>
        <v>134.73735572319274</v>
      </c>
      <c r="K72" s="11">
        <f t="shared" ca="1" si="66"/>
        <v>50.621699808671934</v>
      </c>
      <c r="L72" s="11">
        <f t="shared" ca="1" si="66"/>
        <v>54.588087047593518</v>
      </c>
      <c r="M72" s="11">
        <f t="shared" ca="1" si="66"/>
        <v>61.918947362624003</v>
      </c>
      <c r="N72" s="11">
        <f t="shared" ca="1" si="66"/>
        <v>65.188341927828944</v>
      </c>
      <c r="BB72" s="8" t="s">
        <v>75</v>
      </c>
    </row>
    <row r="73" spans="1:54" x14ac:dyDescent="0.2">
      <c r="B73" s="1" t="s">
        <v>434</v>
      </c>
      <c r="C73" s="45" t="s">
        <v>187</v>
      </c>
      <c r="H73" s="11"/>
      <c r="I73" s="11">
        <f t="shared" ref="I73:N73" ca="1" si="67">+H27*(I69-H69)/1000*H60</f>
        <v>58.369379827741852</v>
      </c>
      <c r="J73" s="11">
        <f t="shared" ca="1" si="67"/>
        <v>-30.754292830283891</v>
      </c>
      <c r="K73" s="11">
        <f t="shared" ca="1" si="67"/>
        <v>27.116410563017638</v>
      </c>
      <c r="L73" s="11">
        <f t="shared" ca="1" si="67"/>
        <v>29.922524572187456</v>
      </c>
      <c r="M73" s="11">
        <f t="shared" ca="1" si="67"/>
        <v>34.673854686617759</v>
      </c>
      <c r="N73" s="11">
        <f t="shared" ca="1" si="67"/>
        <v>39.074218892571956</v>
      </c>
      <c r="BB73" s="8" t="s">
        <v>75</v>
      </c>
    </row>
    <row r="74" spans="1:54" hidden="1" outlineLevel="1" x14ac:dyDescent="0.2">
      <c r="B74" s="1" t="s">
        <v>439</v>
      </c>
      <c r="C74" s="45" t="s">
        <v>187</v>
      </c>
      <c r="H74" s="11"/>
      <c r="I74" s="11"/>
      <c r="J74" s="11"/>
      <c r="K74" s="11"/>
      <c r="L74" s="11"/>
      <c r="M74" s="11"/>
      <c r="N74" s="11"/>
      <c r="BB74" s="8" t="s">
        <v>75</v>
      </c>
    </row>
    <row r="75" spans="1:54" hidden="1" outlineLevel="1" x14ac:dyDescent="0.2">
      <c r="B75" s="1" t="s">
        <v>221</v>
      </c>
      <c r="C75" s="45" t="s">
        <v>187</v>
      </c>
      <c r="H75" s="11"/>
      <c r="I75" s="11"/>
      <c r="J75" s="11"/>
      <c r="K75" s="11"/>
      <c r="L75" s="11"/>
      <c r="M75" s="11"/>
      <c r="N75" s="11"/>
      <c r="BB75" s="8" t="s">
        <v>75</v>
      </c>
    </row>
    <row r="76" spans="1:54" collapsed="1" x14ac:dyDescent="0.2">
      <c r="B76" s="1" t="s">
        <v>435</v>
      </c>
      <c r="C76" s="45" t="s">
        <v>187</v>
      </c>
      <c r="H76" s="11"/>
      <c r="I76" s="11">
        <f t="shared" ref="I76:N76" ca="1" si="68">+I77-I73-I72</f>
        <v>30.623227656056478</v>
      </c>
      <c r="J76" s="11">
        <f t="shared" ca="1" si="68"/>
        <v>42.0591322706656</v>
      </c>
      <c r="K76" s="11">
        <f t="shared" ca="1" si="68"/>
        <v>-15.133317222004507</v>
      </c>
      <c r="L76" s="11">
        <f t="shared" ca="1" si="68"/>
        <v>37.822785685292303</v>
      </c>
      <c r="M76" s="11">
        <f t="shared" ca="1" si="68"/>
        <v>18.217547775817586</v>
      </c>
      <c r="N76" s="11">
        <f t="shared" ca="1" si="68"/>
        <v>17.588769029057445</v>
      </c>
      <c r="BB76" s="8" t="s">
        <v>75</v>
      </c>
    </row>
    <row r="77" spans="1:54" x14ac:dyDescent="0.2">
      <c r="B77" s="2" t="s">
        <v>437</v>
      </c>
      <c r="C77" s="81" t="s">
        <v>187</v>
      </c>
      <c r="G77" s="11"/>
      <c r="H77" s="11"/>
      <c r="I77" s="13">
        <f t="shared" ref="I77:N77" ca="1" si="69">+I62-H62</f>
        <v>145.57332001283703</v>
      </c>
      <c r="J77" s="13">
        <f t="shared" ca="1" si="69"/>
        <v>146.04219516357443</v>
      </c>
      <c r="K77" s="13">
        <f t="shared" ca="1" si="69"/>
        <v>62.604793149685065</v>
      </c>
      <c r="L77" s="13">
        <f t="shared" ca="1" si="69"/>
        <v>122.33339730507328</v>
      </c>
      <c r="M77" s="13">
        <f t="shared" ca="1" si="69"/>
        <v>114.81034982505935</v>
      </c>
      <c r="N77" s="13">
        <f t="shared" ca="1" si="69"/>
        <v>121.85132984945835</v>
      </c>
      <c r="BB77" s="8" t="s">
        <v>75</v>
      </c>
    </row>
    <row r="78" spans="1:54" x14ac:dyDescent="0.2">
      <c r="G78" s="11"/>
      <c r="H78" s="134"/>
      <c r="I78" s="134"/>
      <c r="J78" s="134"/>
      <c r="K78" s="134"/>
      <c r="L78" s="134"/>
      <c r="M78" s="134"/>
      <c r="N78" s="134"/>
      <c r="V78" s="12"/>
      <c r="W78" s="12"/>
      <c r="X78" s="12"/>
      <c r="Y78" s="12"/>
      <c r="Z78" s="12"/>
      <c r="AA78" s="12"/>
      <c r="AB78" s="12"/>
      <c r="AC78" s="12"/>
      <c r="BB78" s="8" t="s">
        <v>75</v>
      </c>
    </row>
    <row r="79" spans="1:54" s="35" customFormat="1" x14ac:dyDescent="0.2">
      <c r="A79" s="1" t="s">
        <v>75</v>
      </c>
      <c r="B79" s="36" t="s">
        <v>6</v>
      </c>
      <c r="C79" s="36"/>
      <c r="D79" s="36"/>
      <c r="E79" s="36"/>
      <c r="F79" s="36"/>
      <c r="G79" s="37"/>
      <c r="H79" s="226"/>
      <c r="I79" s="226"/>
      <c r="J79" s="226"/>
      <c r="K79" s="226"/>
      <c r="L79" s="226"/>
      <c r="M79" s="226"/>
      <c r="N79" s="226"/>
      <c r="R79" s="36"/>
      <c r="S79" s="36"/>
      <c r="T79" s="36"/>
      <c r="U79" s="36"/>
      <c r="V79" s="44"/>
      <c r="W79" s="44"/>
      <c r="X79" s="44"/>
      <c r="Y79" s="44"/>
      <c r="Z79" s="44"/>
      <c r="AA79" s="44"/>
      <c r="AB79" s="44"/>
      <c r="AC79" s="44"/>
      <c r="BB79" s="90" t="s">
        <v>75</v>
      </c>
    </row>
    <row r="80" spans="1:54" x14ac:dyDescent="0.2">
      <c r="B80" s="1" t="s">
        <v>133</v>
      </c>
      <c r="C80" s="45" t="s">
        <v>187</v>
      </c>
      <c r="G80" s="11">
        <f t="shared" ref="G80:N83" si="70">+SUMIFS(80:80,$6:$6,G$3)</f>
        <v>380.54044082134919</v>
      </c>
      <c r="H80" s="11">
        <f t="shared" si="70"/>
        <v>503.29057318000093</v>
      </c>
      <c r="I80" s="11">
        <f t="shared" ca="1" si="70"/>
        <v>639.02987469188292</v>
      </c>
      <c r="J80" s="11">
        <f t="shared" ca="1" si="70"/>
        <v>732.14422519433799</v>
      </c>
      <c r="K80" s="11">
        <f t="shared" ca="1" si="70"/>
        <v>837.13281244800203</v>
      </c>
      <c r="L80" s="11">
        <f t="shared" ca="1" si="70"/>
        <v>955.40666925923392</v>
      </c>
      <c r="M80" s="11">
        <f t="shared" ca="1" si="70"/>
        <v>1088.5373172033808</v>
      </c>
      <c r="N80" s="11">
        <f t="shared" ca="1" si="70"/>
        <v>1230.993944703951</v>
      </c>
      <c r="P80" s="97">
        <f ca="1">+IFERROR((N80/I80)^(1/5)-1,"NM")</f>
        <v>0.1401105145837489</v>
      </c>
      <c r="V80" s="46">
        <f>+SUMIFS(North!33:33,North!$3:$3,Segments!V$3)</f>
        <v>73.918575470000036</v>
      </c>
      <c r="W80" s="46">
        <f>+SUMIFS(North!33:33,North!$3:$3,Segments!W$3)</f>
        <v>101.0238715613492</v>
      </c>
      <c r="X80" s="46">
        <f>+SUMIFS(North!33:33,North!$3:$3,Segments!X$3)</f>
        <v>132.01327775000001</v>
      </c>
      <c r="Y80" s="46">
        <f>+SUMIFS(North!33:33,North!$3:$3,Segments!Y$3)</f>
        <v>73.584716040000004</v>
      </c>
      <c r="Z80" s="46">
        <f>+SUMIFS(North!33:33,North!$3:$3,Segments!Z$3)</f>
        <v>98.573378810000037</v>
      </c>
      <c r="AA80" s="46">
        <f>+SUMIFS(North!33:33,North!$3:$3,Segments!AA$3)</f>
        <v>159.99318780000056</v>
      </c>
      <c r="AB80" s="46">
        <f>+SUMIFS(North!33:33,North!$3:$3,Segments!AB$3)</f>
        <v>156.74861919000045</v>
      </c>
      <c r="AC80" s="46">
        <f>+SUMIFS(North!33:33,North!$3:$3,Segments!AC$3)</f>
        <v>87.975387379999887</v>
      </c>
      <c r="AD80" s="46">
        <f ca="1">+SUMIFS(North!33:33,North!$3:$3,Segments!AD$3)</f>
        <v>125.15897826359864</v>
      </c>
      <c r="AE80" s="46">
        <f ca="1">+SUMIFS(North!33:33,North!$3:$3,Segments!AE$3)</f>
        <v>203.14393354397905</v>
      </c>
      <c r="AF80" s="46">
        <f ca="1">+SUMIFS(North!33:33,North!$3:$3,Segments!AF$3)</f>
        <v>199.02429295707697</v>
      </c>
      <c r="AG80" s="46">
        <f ca="1">+SUMIFS(North!33:33,North!$3:$3,Segments!AG$3)</f>
        <v>111.7026699272283</v>
      </c>
      <c r="AH80" s="46">
        <f ca="1">+SUMIFS(North!33:33,North!$3:$3,Segments!AH$3)</f>
        <v>143.39614906282782</v>
      </c>
      <c r="AI80" s="46">
        <f ca="1">+SUMIFS(North!33:33,North!$3:$3,Segments!AI$3)</f>
        <v>232.74445173506041</v>
      </c>
      <c r="AJ80" s="46">
        <f ca="1">+SUMIFS(North!33:33,North!$3:$3,Segments!AJ$3)</f>
        <v>228.02452988941755</v>
      </c>
      <c r="AK80" s="46">
        <f ca="1">+SUMIFS(North!33:33,North!$3:$3,Segments!AK$3)</f>
        <v>127.97909450703222</v>
      </c>
      <c r="AL80" s="46">
        <f ca="1">+SUMIFS(North!33:33,North!$3:$3,Segments!AL$3)</f>
        <v>163.95898161638095</v>
      </c>
      <c r="AM80" s="46">
        <f ca="1">+SUMIFS(North!33:33,North!$3:$3,Segments!AM$3)</f>
        <v>266.11972171319411</v>
      </c>
      <c r="AN80" s="46">
        <f ca="1">+SUMIFS(North!33:33,North!$3:$3,Segments!AN$3)</f>
        <v>260.72296884236613</v>
      </c>
      <c r="AO80" s="46">
        <f ca="1">+SUMIFS(North!33:33,North!$3:$3,Segments!AO$3)</f>
        <v>146.33114027606084</v>
      </c>
      <c r="AP80" s="46">
        <f ca="1">+SUMIFS(North!33:33,North!$3:$3,Segments!AP$3)</f>
        <v>187.12383768970065</v>
      </c>
      <c r="AQ80" s="46">
        <f ca="1">+SUMIFS(North!33:33,North!$3:$3,Segments!AQ$3)</f>
        <v>303.71830271793328</v>
      </c>
      <c r="AR80" s="46">
        <f ca="1">+SUMIFS(North!33:33,North!$3:$3,Segments!AR$3)</f>
        <v>297.55907253550214</v>
      </c>
      <c r="AS80" s="46">
        <f ca="1">+SUMIFS(North!33:33,North!$3:$3,Segments!AS$3)</f>
        <v>167.00545631609799</v>
      </c>
      <c r="AT80" s="46">
        <f ca="1">+SUMIFS(North!33:33,North!$3:$3,Segments!AT$3)</f>
        <v>213.19851202365771</v>
      </c>
      <c r="AU80" s="46">
        <f ca="1">+SUMIFS(North!33:33,North!$3:$3,Segments!AU$3)</f>
        <v>346.03977244839393</v>
      </c>
      <c r="AV80" s="46">
        <f ca="1">+SUMIFS(North!33:33,North!$3:$3,Segments!AV$3)</f>
        <v>339.02228752334122</v>
      </c>
      <c r="AW80" s="46">
        <f ca="1">+SUMIFS(North!33:33,North!$3:$3,Segments!AW$3)</f>
        <v>190.276745207988</v>
      </c>
      <c r="AX80" s="46">
        <f ca="1">+SUMIFS(North!33:33,North!$3:$3,Segments!AX$3)</f>
        <v>241.09975209235765</v>
      </c>
      <c r="AY80" s="46">
        <f ca="1">+SUMIFS(North!33:33,North!$3:$3,Segments!AY$3)</f>
        <v>391.32591761309175</v>
      </c>
      <c r="AZ80" s="46">
        <f ca="1">+SUMIFS(North!33:33,North!$3:$3,Segments!AZ$3)</f>
        <v>383.3900560553227</v>
      </c>
      <c r="BA80" s="46">
        <f ca="1">+SUMIFS(North!33:33,North!$3:$3,Segments!BA$3)</f>
        <v>215.1782189431789</v>
      </c>
      <c r="BB80" s="8" t="s">
        <v>75</v>
      </c>
    </row>
    <row r="81" spans="1:54" s="2" customFormat="1" x14ac:dyDescent="0.2">
      <c r="B81" s="18" t="s">
        <v>307</v>
      </c>
      <c r="C81" s="45" t="s">
        <v>187</v>
      </c>
      <c r="G81" s="13">
        <f t="shared" si="70"/>
        <v>183.87310206134927</v>
      </c>
      <c r="H81" s="13">
        <f t="shared" si="70"/>
        <v>289.29711744000014</v>
      </c>
      <c r="I81" s="13">
        <f t="shared" ca="1" si="70"/>
        <v>371.59546970882514</v>
      </c>
      <c r="J81" s="13">
        <f t="shared" ca="1" si="70"/>
        <v>440.73281968955854</v>
      </c>
      <c r="K81" s="13">
        <f t="shared" ca="1" si="70"/>
        <v>462.75529125554942</v>
      </c>
      <c r="L81" s="13">
        <f t="shared" ca="1" si="70"/>
        <v>549.78955750276737</v>
      </c>
      <c r="M81" s="13">
        <f t="shared" ca="1" si="70"/>
        <v>648.11335954272681</v>
      </c>
      <c r="N81" s="13">
        <f t="shared" ca="1" si="70"/>
        <v>752.96734982179794</v>
      </c>
      <c r="P81" s="131">
        <f ca="1">+IFERROR((N81/I81)^(1/5)-1,"NM")</f>
        <v>0.15170472030082371</v>
      </c>
      <c r="V81" s="148">
        <f>+SUMIFS(North!44:44,North!$3:$3,Segments!V$3)</f>
        <v>26.867964570000037</v>
      </c>
      <c r="W81" s="148">
        <f>+SUMIFS(North!44:44,North!$3:$3,Segments!W$3)</f>
        <v>58.099044983669202</v>
      </c>
      <c r="X81" s="148">
        <f>+SUMIFS(North!44:44,North!$3:$3,Segments!X$3)</f>
        <v>69.621885217680003</v>
      </c>
      <c r="Y81" s="148">
        <f>+SUMIFS(North!44:44,North!$3:$3,Segments!Y$3)</f>
        <v>29.284207290000001</v>
      </c>
      <c r="Z81" s="148">
        <f>+SUMIFS(North!44:44,North!$3:$3,Segments!Z$3)</f>
        <v>48.755777860000002</v>
      </c>
      <c r="AA81" s="148">
        <f>+SUMIFS(North!44:44,North!$3:$3,Segments!AA$3)</f>
        <v>106.65568581999992</v>
      </c>
      <c r="AB81" s="148">
        <f>+SUMIFS(North!44:44,North!$3:$3,Segments!AB$3)</f>
        <v>99.228039750000192</v>
      </c>
      <c r="AC81" s="148">
        <f>+SUMIFS(North!44:44,North!$3:$3,Segments!AC$3)</f>
        <v>34.65761401000001</v>
      </c>
      <c r="AD81" s="148">
        <f ca="1">+SUMIFS(North!44:44,North!$3:$3,Segments!AD$3)</f>
        <v>61.183298299734972</v>
      </c>
      <c r="AE81" s="148">
        <f ca="1">+SUMIFS(North!44:44,North!$3:$3,Segments!AE$3)</f>
        <v>135.08091105127926</v>
      </c>
      <c r="AF81" s="148">
        <f ca="1">+SUMIFS(North!44:44,North!$3:$3,Segments!AF$3)</f>
        <v>131.24996162173642</v>
      </c>
      <c r="AG81" s="148">
        <f ca="1">+SUMIFS(North!44:44,North!$3:$3,Segments!AG$3)</f>
        <v>44.081298736074501</v>
      </c>
      <c r="AH81" s="148">
        <f ca="1">+SUMIFS(North!44:44,North!$3:$3,Segments!AH$3)</f>
        <v>73.0499135132806</v>
      </c>
      <c r="AI81" s="148">
        <f ca="1">+SUMIFS(North!44:44,North!$3:$3,Segments!AI$3)</f>
        <v>158.70002860640088</v>
      </c>
      <c r="AJ81" s="148">
        <f ca="1">+SUMIFS(North!44:44,North!$3:$3,Segments!AJ$3)</f>
        <v>154.28803509746481</v>
      </c>
      <c r="AK81" s="148">
        <f ca="1">+SUMIFS(North!44:44,North!$3:$3,Segments!AK$3)</f>
        <v>54.694842472412304</v>
      </c>
      <c r="AL81" s="148">
        <f ca="1">+SUMIFS(North!44:44,North!$3:$3,Segments!AL$3)</f>
        <v>73.473848399925373</v>
      </c>
      <c r="AM81" s="148">
        <f ca="1">+SUMIFS(North!44:44,North!$3:$3,Segments!AM$3)</f>
        <v>171.01608382598377</v>
      </c>
      <c r="AN81" s="148">
        <f ca="1">+SUMIFS(North!44:44,North!$3:$3,Segments!AN$3)</f>
        <v>166.04434182655339</v>
      </c>
      <c r="AO81" s="148">
        <f ca="1">+SUMIFS(North!44:44,North!$3:$3,Segments!AO$3)</f>
        <v>52.221017203086888</v>
      </c>
      <c r="AP81" s="148">
        <f ca="1">+SUMIFS(North!44:44,North!$3:$3,Segments!AP$3)</f>
        <v>89.131540580494971</v>
      </c>
      <c r="AQ81" s="148">
        <f ca="1">+SUMIFS(North!44:44,North!$3:$3,Segments!AQ$3)</f>
        <v>200.53222065372358</v>
      </c>
      <c r="AR81" s="148">
        <f ca="1">+SUMIFS(North!44:44,North!$3:$3,Segments!AR$3)</f>
        <v>194.82699330472906</v>
      </c>
      <c r="AS81" s="148">
        <f ca="1">+SUMIFS(North!44:44,North!$3:$3,Segments!AS$3)</f>
        <v>65.298802963819782</v>
      </c>
      <c r="AT81" s="148">
        <f ca="1">+SUMIFS(North!44:44,North!$3:$3,Segments!AT$3)</f>
        <v>106.84205762829664</v>
      </c>
      <c r="AU81" s="148">
        <f ca="1">+SUMIFS(North!44:44,North!$3:$3,Segments!AU$3)</f>
        <v>233.82915973533539</v>
      </c>
      <c r="AV81" s="148">
        <f ca="1">+SUMIFS(North!44:44,North!$3:$3,Segments!AV$3)</f>
        <v>227.29860419787207</v>
      </c>
      <c r="AW81" s="148">
        <f ca="1">+SUMIFS(North!44:44,North!$3:$3,Segments!AW$3)</f>
        <v>80.143537981222678</v>
      </c>
      <c r="AX81" s="148">
        <f ca="1">+SUMIFS(North!44:44,North!$3:$3,Segments!AX$3)</f>
        <v>125.70450075198873</v>
      </c>
      <c r="AY81" s="148">
        <f ca="1">+SUMIFS(North!44:44,North!$3:$3,Segments!AY$3)</f>
        <v>269.34511995880405</v>
      </c>
      <c r="AZ81" s="148">
        <f ca="1">+SUMIFS(North!44:44,North!$3:$3,Segments!AZ$3)</f>
        <v>261.93327316915799</v>
      </c>
      <c r="BA81" s="148">
        <f ca="1">+SUMIFS(North!44:44,North!$3:$3,Segments!BA$3)</f>
        <v>95.984455941847173</v>
      </c>
      <c r="BB81" s="83" t="s">
        <v>75</v>
      </c>
    </row>
    <row r="82" spans="1:54" x14ac:dyDescent="0.2">
      <c r="B82" s="1" t="s">
        <v>304</v>
      </c>
      <c r="C82" s="45" t="s">
        <v>187</v>
      </c>
      <c r="G82" s="11">
        <f t="shared" si="70"/>
        <v>-22.770818151025352</v>
      </c>
      <c r="H82" s="11">
        <f t="shared" si="70"/>
        <v>-25.664908108756059</v>
      </c>
      <c r="I82" s="11">
        <f t="shared" ca="1" si="70"/>
        <v>-29.637829160150666</v>
      </c>
      <c r="J82" s="11">
        <f t="shared" ca="1" si="70"/>
        <v>-31.361348730054171</v>
      </c>
      <c r="K82" s="11">
        <f t="shared" ca="1" si="70"/>
        <v>-34.369773926233229</v>
      </c>
      <c r="L82" s="11">
        <f t="shared" ca="1" si="70"/>
        <v>-37.542880092505222</v>
      </c>
      <c r="M82" s="11">
        <f t="shared" ca="1" si="70"/>
        <v>-40.882401912087595</v>
      </c>
      <c r="N82" s="11">
        <f t="shared" ca="1" si="70"/>
        <v>-44.265956213869806</v>
      </c>
      <c r="P82" s="97">
        <f ca="1">+IFERROR((N82/I82)^(1/5)-1,"NM")</f>
        <v>8.3539360229253345E-2</v>
      </c>
      <c r="V82" s="23">
        <f t="shared" ref="V82:BA82" si="71">+V85*V$125</f>
        <v>-4.7431698279438947</v>
      </c>
      <c r="W82" s="23">
        <f t="shared" si="71"/>
        <v>-5.6347229634268077</v>
      </c>
      <c r="X82" s="23">
        <f t="shared" si="71"/>
        <v>-7.7964020709079502</v>
      </c>
      <c r="Y82" s="23">
        <f t="shared" si="71"/>
        <v>-4.5965232887467042</v>
      </c>
      <c r="Z82" s="23">
        <f t="shared" si="71"/>
        <v>-6.9270870228834802</v>
      </c>
      <c r="AA82" s="23">
        <f t="shared" si="71"/>
        <v>-6.451104345491693</v>
      </c>
      <c r="AB82" s="23">
        <f t="shared" si="71"/>
        <v>-6.9185055153211854</v>
      </c>
      <c r="AC82" s="23">
        <f t="shared" si="71"/>
        <v>-5.3682112250596994</v>
      </c>
      <c r="AD82" s="23">
        <f t="shared" ca="1" si="71"/>
        <v>-6.6935748917588551</v>
      </c>
      <c r="AE82" s="23">
        <f t="shared" ca="1" si="71"/>
        <v>-8.2427242141490122</v>
      </c>
      <c r="AF82" s="23">
        <f t="shared" ca="1" si="71"/>
        <v>-8.2735677426546523</v>
      </c>
      <c r="AG82" s="23">
        <f t="shared" ca="1" si="71"/>
        <v>-6.4279623115881472</v>
      </c>
      <c r="AH82" s="23">
        <f t="shared" ca="1" si="71"/>
        <v>-7.0847290343516001</v>
      </c>
      <c r="AI82" s="23">
        <f t="shared" ca="1" si="71"/>
        <v>-8.7241993025232549</v>
      </c>
      <c r="AJ82" s="23">
        <f t="shared" ca="1" si="71"/>
        <v>-8.7554769502605936</v>
      </c>
      <c r="AK82" s="23">
        <f t="shared" ca="1" si="71"/>
        <v>-6.7969434429187201</v>
      </c>
      <c r="AL82" s="23">
        <f t="shared" ca="1" si="71"/>
        <v>-7.8010012981895365</v>
      </c>
      <c r="AM82" s="23">
        <f t="shared" ca="1" si="71"/>
        <v>-9.517520439097785</v>
      </c>
      <c r="AN82" s="23">
        <f t="shared" ca="1" si="71"/>
        <v>-9.5537951589851211</v>
      </c>
      <c r="AO82" s="23">
        <f t="shared" ca="1" si="71"/>
        <v>-7.4974570299607857</v>
      </c>
      <c r="AP82" s="23">
        <f t="shared" ca="1" si="71"/>
        <v>-8.5604772905721855</v>
      </c>
      <c r="AQ82" s="23">
        <f t="shared" ca="1" si="71"/>
        <v>-10.349534264777883</v>
      </c>
      <c r="AR82" s="23">
        <f t="shared" ca="1" si="71"/>
        <v>-10.391031339669263</v>
      </c>
      <c r="AS82" s="23">
        <f t="shared" ca="1" si="71"/>
        <v>-8.2418371974858928</v>
      </c>
      <c r="AT82" s="23">
        <f t="shared" ca="1" si="71"/>
        <v>-9.3637541005914553</v>
      </c>
      <c r="AU82" s="23">
        <f t="shared" ca="1" si="71"/>
        <v>-11.22047869234517</v>
      </c>
      <c r="AV82" s="23">
        <f t="shared" ca="1" si="71"/>
        <v>-11.267388685181208</v>
      </c>
      <c r="AW82" s="23">
        <f t="shared" ca="1" si="71"/>
        <v>-9.0307804339697597</v>
      </c>
      <c r="AX82" s="23">
        <f t="shared" ca="1" si="71"/>
        <v>-10.180049386570323</v>
      </c>
      <c r="AY82" s="23">
        <f t="shared" ca="1" si="71"/>
        <v>-12.099837951237923</v>
      </c>
      <c r="AZ82" s="23">
        <f t="shared" ca="1" si="71"/>
        <v>-12.15235950972728</v>
      </c>
      <c r="BA82" s="23">
        <f t="shared" ca="1" si="71"/>
        <v>-9.8337093663342845</v>
      </c>
      <c r="BB82" s="8" t="s">
        <v>75</v>
      </c>
    </row>
    <row r="83" spans="1:54" x14ac:dyDescent="0.2">
      <c r="B83" s="18" t="s">
        <v>306</v>
      </c>
      <c r="C83" s="45" t="s">
        <v>187</v>
      </c>
      <c r="G83" s="13">
        <f t="shared" si="70"/>
        <v>161.10228391032388</v>
      </c>
      <c r="H83" s="13">
        <f t="shared" si="70"/>
        <v>263.63220933124404</v>
      </c>
      <c r="I83" s="13">
        <f t="shared" ca="1" si="70"/>
        <v>341.95764054867448</v>
      </c>
      <c r="J83" s="13">
        <f t="shared" ca="1" si="70"/>
        <v>409.37147095950445</v>
      </c>
      <c r="K83" s="13">
        <f t="shared" ca="1" si="70"/>
        <v>428.3855173293162</v>
      </c>
      <c r="L83" s="13">
        <f t="shared" ca="1" si="70"/>
        <v>512.24667741026224</v>
      </c>
      <c r="M83" s="13">
        <f t="shared" ca="1" si="70"/>
        <v>607.23095763063918</v>
      </c>
      <c r="N83" s="13">
        <f t="shared" ca="1" si="70"/>
        <v>708.70139360792814</v>
      </c>
      <c r="P83" s="131">
        <f ca="1">+IFERROR((N83/I83)^(1/5)-1,"NM")</f>
        <v>0.15690632377904601</v>
      </c>
      <c r="V83" s="24">
        <f>+V81+V82</f>
        <v>22.124794742056142</v>
      </c>
      <c r="W83" s="24">
        <f t="shared" ref="W83:BA83" si="72">+W81+W82</f>
        <v>52.464322020242392</v>
      </c>
      <c r="X83" s="24">
        <f t="shared" si="72"/>
        <v>61.825483146772051</v>
      </c>
      <c r="Y83" s="24">
        <f t="shared" si="72"/>
        <v>24.687684001253295</v>
      </c>
      <c r="Z83" s="24">
        <f t="shared" si="72"/>
        <v>41.828690837116525</v>
      </c>
      <c r="AA83" s="24">
        <f t="shared" si="72"/>
        <v>100.20458147450822</v>
      </c>
      <c r="AB83" s="24">
        <f t="shared" si="72"/>
        <v>92.309534234679006</v>
      </c>
      <c r="AC83" s="24">
        <f t="shared" si="72"/>
        <v>29.289402784940311</v>
      </c>
      <c r="AD83" s="24">
        <f t="shared" ca="1" si="72"/>
        <v>54.489723407976115</v>
      </c>
      <c r="AE83" s="24">
        <f t="shared" ca="1" si="72"/>
        <v>126.83818683713025</v>
      </c>
      <c r="AF83" s="24">
        <f t="shared" ca="1" si="72"/>
        <v>122.97639387908177</v>
      </c>
      <c r="AG83" s="24">
        <f t="shared" ca="1" si="72"/>
        <v>37.653336424486355</v>
      </c>
      <c r="AH83" s="24">
        <f t="shared" ca="1" si="72"/>
        <v>65.965184478929004</v>
      </c>
      <c r="AI83" s="24">
        <f t="shared" ca="1" si="72"/>
        <v>149.97582930387762</v>
      </c>
      <c r="AJ83" s="24">
        <f t="shared" ca="1" si="72"/>
        <v>145.53255814720421</v>
      </c>
      <c r="AK83" s="24">
        <f t="shared" ca="1" si="72"/>
        <v>47.897899029493587</v>
      </c>
      <c r="AL83" s="24">
        <f t="shared" ca="1" si="72"/>
        <v>65.67284710173584</v>
      </c>
      <c r="AM83" s="24">
        <f t="shared" ca="1" si="72"/>
        <v>161.49856338688599</v>
      </c>
      <c r="AN83" s="24">
        <f t="shared" ca="1" si="72"/>
        <v>156.49054666756828</v>
      </c>
      <c r="AO83" s="24">
        <f t="shared" ca="1" si="72"/>
        <v>44.723560173126103</v>
      </c>
      <c r="AP83" s="24">
        <f t="shared" ca="1" si="72"/>
        <v>80.57106328992279</v>
      </c>
      <c r="AQ83" s="24">
        <f t="shared" ca="1" si="72"/>
        <v>190.18268638894571</v>
      </c>
      <c r="AR83" s="24">
        <f t="shared" ca="1" si="72"/>
        <v>184.43596196505979</v>
      </c>
      <c r="AS83" s="24">
        <f t="shared" ca="1" si="72"/>
        <v>57.056965766333889</v>
      </c>
      <c r="AT83" s="24">
        <f t="shared" ca="1" si="72"/>
        <v>97.478303527705194</v>
      </c>
      <c r="AU83" s="24">
        <f t="shared" ca="1" si="72"/>
        <v>222.60868104299021</v>
      </c>
      <c r="AV83" s="24">
        <f t="shared" ca="1" si="72"/>
        <v>216.03121551269086</v>
      </c>
      <c r="AW83" s="24">
        <f t="shared" ca="1" si="72"/>
        <v>71.112757547252926</v>
      </c>
      <c r="AX83" s="24">
        <f t="shared" ca="1" si="72"/>
        <v>115.52445136541841</v>
      </c>
      <c r="AY83" s="24">
        <f t="shared" ca="1" si="72"/>
        <v>257.24528200756612</v>
      </c>
      <c r="AZ83" s="24">
        <f t="shared" ca="1" si="72"/>
        <v>249.78091365943069</v>
      </c>
      <c r="BA83" s="24">
        <f t="shared" ca="1" si="72"/>
        <v>86.150746575512883</v>
      </c>
      <c r="BB83" s="8" t="s">
        <v>75</v>
      </c>
    </row>
    <row r="84" spans="1:54" x14ac:dyDescent="0.2">
      <c r="B84" s="18"/>
      <c r="BB84" s="8" t="s">
        <v>75</v>
      </c>
    </row>
    <row r="85" spans="1:54" s="25" customFormat="1" x14ac:dyDescent="0.2">
      <c r="B85" s="33" t="s">
        <v>305</v>
      </c>
      <c r="C85" s="45" t="s">
        <v>177</v>
      </c>
      <c r="G85" s="70">
        <f t="shared" ref="G85:N85" si="73">+G80/G$41</f>
        <v>0.41352355209390418</v>
      </c>
      <c r="H85" s="70">
        <f t="shared" si="73"/>
        <v>0.40317406729494204</v>
      </c>
      <c r="I85" s="70">
        <f t="shared" ca="1" si="73"/>
        <v>0.43073161050873493</v>
      </c>
      <c r="J85" s="70">
        <f t="shared" ca="1" si="73"/>
        <v>0.43825436741815488</v>
      </c>
      <c r="K85" s="70">
        <f t="shared" ca="1" si="73"/>
        <v>0.46172877754421454</v>
      </c>
      <c r="L85" s="70">
        <f t="shared" ca="1" si="73"/>
        <v>0.48483840196912192</v>
      </c>
      <c r="M85" s="70">
        <f t="shared" ca="1" si="73"/>
        <v>0.50751272599131025</v>
      </c>
      <c r="N85" s="70">
        <f t="shared" ca="1" si="73"/>
        <v>0.52821954663456994</v>
      </c>
      <c r="V85" s="70">
        <f t="shared" ref="V85:BA85" si="74">+V80/V$41</f>
        <v>0.37767638592772446</v>
      </c>
      <c r="W85" s="70">
        <f t="shared" si="74"/>
        <v>0.42656234814233618</v>
      </c>
      <c r="X85" s="70">
        <f t="shared" si="74"/>
        <v>0.49372617271799807</v>
      </c>
      <c r="Y85" s="70">
        <f t="shared" si="74"/>
        <v>0.33401240402855054</v>
      </c>
      <c r="Z85" s="70">
        <f t="shared" si="74"/>
        <v>0.41438126497641914</v>
      </c>
      <c r="AA85" s="70">
        <f t="shared" si="74"/>
        <v>0.45840639376997233</v>
      </c>
      <c r="AB85" s="70">
        <f t="shared" si="74"/>
        <v>0.42973582336151173</v>
      </c>
      <c r="AC85" s="70">
        <f t="shared" si="74"/>
        <v>0.29654917100197253</v>
      </c>
      <c r="AD85" s="70">
        <f t="shared" ca="1" si="74"/>
        <v>0.38248999381479171</v>
      </c>
      <c r="AE85" s="70">
        <f t="shared" ca="1" si="74"/>
        <v>0.47101281223708641</v>
      </c>
      <c r="AF85" s="70">
        <f t="shared" ca="1" si="74"/>
        <v>0.47277529958026582</v>
      </c>
      <c r="AG85" s="70">
        <f t="shared" ca="1" si="74"/>
        <v>0.36731213209075125</v>
      </c>
      <c r="AH85" s="70">
        <f t="shared" ca="1" si="74"/>
        <v>0.38927082606327473</v>
      </c>
      <c r="AI85" s="70">
        <f t="shared" ca="1" si="74"/>
        <v>0.47935161002875026</v>
      </c>
      <c r="AJ85" s="70">
        <f t="shared" ca="1" si="74"/>
        <v>0.48107016210223047</v>
      </c>
      <c r="AK85" s="70">
        <f t="shared" ca="1" si="74"/>
        <v>0.37345843092960002</v>
      </c>
      <c r="AL85" s="70">
        <f t="shared" ca="1" si="74"/>
        <v>0.41214081245718176</v>
      </c>
      <c r="AM85" s="70">
        <f t="shared" ca="1" si="74"/>
        <v>0.50282758025664542</v>
      </c>
      <c r="AN85" s="70">
        <f t="shared" ca="1" si="74"/>
        <v>0.50474403840792059</v>
      </c>
      <c r="AO85" s="70">
        <f t="shared" ca="1" si="74"/>
        <v>0.39610402736479211</v>
      </c>
      <c r="AP85" s="70">
        <f t="shared" ca="1" si="74"/>
        <v>0.43487046513164185</v>
      </c>
      <c r="AQ85" s="70">
        <f t="shared" ca="1" si="74"/>
        <v>0.52575418716156586</v>
      </c>
      <c r="AR85" s="70">
        <f t="shared" ca="1" si="74"/>
        <v>0.52786222993150478</v>
      </c>
      <c r="AS85" s="70">
        <f t="shared" ca="1" si="74"/>
        <v>0.41868361470419746</v>
      </c>
      <c r="AT85" s="70">
        <f t="shared" ca="1" si="74"/>
        <v>0.45738149994042032</v>
      </c>
      <c r="AU85" s="70">
        <f t="shared" ca="1" si="74"/>
        <v>0.54807498351865069</v>
      </c>
      <c r="AV85" s="70">
        <f t="shared" ca="1" si="74"/>
        <v>0.55036634686021757</v>
      </c>
      <c r="AW85" s="70">
        <f t="shared" ca="1" si="74"/>
        <v>0.44111708361294838</v>
      </c>
      <c r="AX85" s="70">
        <f t="shared" ca="1" si="74"/>
        <v>0.47812905936977479</v>
      </c>
      <c r="AY85" s="70">
        <f t="shared" ca="1" si="74"/>
        <v>0.56829627425817075</v>
      </c>
      <c r="AZ85" s="70">
        <f t="shared" ca="1" si="74"/>
        <v>0.57076306812169353</v>
      </c>
      <c r="BA85" s="70">
        <f t="shared" ca="1" si="74"/>
        <v>0.46186241646762721</v>
      </c>
      <c r="BB85" s="88" t="s">
        <v>75</v>
      </c>
    </row>
    <row r="86" spans="1:54" x14ac:dyDescent="0.2">
      <c r="B86" s="33" t="s">
        <v>308</v>
      </c>
      <c r="C86" s="45" t="s">
        <v>177</v>
      </c>
      <c r="G86" s="70">
        <f t="shared" ref="G86:N86" si="75">+G83/G$59</f>
        <v>0.34945202568910338</v>
      </c>
      <c r="H86" s="70">
        <f t="shared" si="75"/>
        <v>0.41360339383426326</v>
      </c>
      <c r="I86" s="70">
        <f t="shared" ca="1" si="75"/>
        <v>0.43674049555614847</v>
      </c>
      <c r="J86" s="70">
        <f t="shared" ca="1" si="75"/>
        <v>0.44064923160563263</v>
      </c>
      <c r="K86" s="70">
        <f t="shared" ca="1" si="75"/>
        <v>0.43200410991523025</v>
      </c>
      <c r="L86" s="70">
        <f t="shared" ca="1" si="75"/>
        <v>0.45984416723754845</v>
      </c>
      <c r="M86" s="70">
        <f t="shared" ca="1" si="75"/>
        <v>0.49417890676857679</v>
      </c>
      <c r="N86" s="70">
        <f t="shared" ca="1" si="75"/>
        <v>0.52472348342034125</v>
      </c>
      <c r="V86" s="70">
        <f t="shared" ref="V86:BA86" si="76">+V83/V$59</f>
        <v>0.27014758951827661</v>
      </c>
      <c r="W86" s="70">
        <f t="shared" si="76"/>
        <v>0.38927357094758802</v>
      </c>
      <c r="X86" s="70">
        <f t="shared" si="76"/>
        <v>0.44823155532222436</v>
      </c>
      <c r="Y86" s="70">
        <f t="shared" si="76"/>
        <v>0.23200933802356077</v>
      </c>
      <c r="Z86" s="70">
        <f t="shared" si="76"/>
        <v>0.40087119365597773</v>
      </c>
      <c r="AA86" s="70">
        <f t="shared" si="76"/>
        <v>0.53509061933986923</v>
      </c>
      <c r="AB86" s="70">
        <f t="shared" si="76"/>
        <v>0.45697208615816193</v>
      </c>
      <c r="AC86" s="70">
        <f t="shared" si="76"/>
        <v>0.20369596565619671</v>
      </c>
      <c r="AD86" s="70">
        <f t="shared" ca="1" si="76"/>
        <v>0.33715779919602484</v>
      </c>
      <c r="AE86" s="70">
        <f t="shared" ca="1" si="76"/>
        <v>0.51450975193578374</v>
      </c>
      <c r="AF86" s="70">
        <f t="shared" ca="1" si="76"/>
        <v>0.50484646776370101</v>
      </c>
      <c r="AG86" s="70">
        <f t="shared" ca="1" si="76"/>
        <v>0.28688751078352359</v>
      </c>
      <c r="AH86" s="70">
        <f t="shared" ca="1" si="76"/>
        <v>0.35461487147771253</v>
      </c>
      <c r="AI86" s="70">
        <f t="shared" ca="1" si="76"/>
        <v>0.50362514105161083</v>
      </c>
      <c r="AJ86" s="70">
        <f t="shared" ca="1" si="76"/>
        <v>0.51080217410736939</v>
      </c>
      <c r="AK86" s="70">
        <f t="shared" ca="1" si="76"/>
        <v>0.29880667937957611</v>
      </c>
      <c r="AL86" s="70">
        <f t="shared" ca="1" si="76"/>
        <v>0.33841387774944431</v>
      </c>
      <c r="AM86" s="70">
        <f t="shared" ca="1" si="76"/>
        <v>0.49850618830419513</v>
      </c>
      <c r="AN86" s="70">
        <f t="shared" ca="1" si="76"/>
        <v>0.51107118058321899</v>
      </c>
      <c r="AO86" s="70">
        <f t="shared" ca="1" si="76"/>
        <v>0.26717081318075792</v>
      </c>
      <c r="AP86" s="70">
        <f t="shared" ca="1" si="76"/>
        <v>0.3712887895584282</v>
      </c>
      <c r="AQ86" s="70">
        <f t="shared" ca="1" si="76"/>
        <v>0.52238756486838256</v>
      </c>
      <c r="AR86" s="70">
        <f t="shared" ca="1" si="76"/>
        <v>0.53627462545820481</v>
      </c>
      <c r="AS86" s="70">
        <f t="shared" ca="1" si="76"/>
        <v>0.3019394007117765</v>
      </c>
      <c r="AT86" s="70">
        <f t="shared" ca="1" si="76"/>
        <v>0.40935916179323317</v>
      </c>
      <c r="AU86" s="70">
        <f t="shared" ca="1" si="76"/>
        <v>0.55274936631217519</v>
      </c>
      <c r="AV86" s="70">
        <f t="shared" ca="1" si="76"/>
        <v>0.56730783290223474</v>
      </c>
      <c r="AW86" s="70">
        <f t="shared" ca="1" si="76"/>
        <v>0.3433528901643309</v>
      </c>
      <c r="AX86" s="70">
        <f t="shared" ca="1" si="76"/>
        <v>0.44350807844294748</v>
      </c>
      <c r="AY86" s="70">
        <f t="shared" ca="1" si="76"/>
        <v>0.57961382195838229</v>
      </c>
      <c r="AZ86" s="70">
        <f t="shared" ca="1" si="76"/>
        <v>0.59474105378791486</v>
      </c>
      <c r="BA86" s="70">
        <f t="shared" ca="1" si="76"/>
        <v>0.38063294241419571</v>
      </c>
      <c r="BB86" s="8" t="s">
        <v>75</v>
      </c>
    </row>
    <row r="87" spans="1:54" x14ac:dyDescent="0.2">
      <c r="B87" s="18"/>
      <c r="BB87" s="8" t="s">
        <v>75</v>
      </c>
    </row>
    <row r="88" spans="1:54" s="35" customFormat="1" x14ac:dyDescent="0.2">
      <c r="A88" s="1" t="s">
        <v>75</v>
      </c>
      <c r="B88" s="36" t="s">
        <v>7</v>
      </c>
      <c r="C88" s="36"/>
      <c r="D88" s="36"/>
      <c r="E88" s="36"/>
      <c r="F88" s="36"/>
      <c r="G88" s="37"/>
      <c r="H88" s="37"/>
      <c r="I88" s="37"/>
      <c r="J88" s="37"/>
      <c r="K88" s="37"/>
      <c r="L88" s="37"/>
      <c r="M88" s="37"/>
      <c r="N88" s="37"/>
      <c r="R88" s="36"/>
      <c r="S88" s="36"/>
      <c r="T88" s="36"/>
      <c r="U88" s="36"/>
      <c r="V88" s="44"/>
      <c r="W88" s="44"/>
      <c r="X88" s="44"/>
      <c r="Y88" s="44"/>
      <c r="Z88" s="44"/>
      <c r="AA88" s="44"/>
      <c r="AB88" s="44"/>
      <c r="AC88" s="44"/>
      <c r="AD88" s="44"/>
      <c r="AE88" s="44"/>
      <c r="AF88" s="44"/>
      <c r="AG88" s="44"/>
      <c r="AH88" s="44"/>
      <c r="AI88" s="44"/>
      <c r="AJ88" s="44"/>
      <c r="AK88" s="44"/>
      <c r="AL88" s="44"/>
      <c r="AM88" s="44"/>
      <c r="AN88" s="44"/>
      <c r="AO88" s="44"/>
      <c r="AP88" s="44"/>
      <c r="AQ88" s="44"/>
      <c r="AR88" s="44"/>
      <c r="AS88" s="44"/>
      <c r="AT88" s="44"/>
      <c r="AU88" s="44"/>
      <c r="AV88" s="44"/>
      <c r="AW88" s="44"/>
      <c r="AX88" s="44"/>
      <c r="AY88" s="44"/>
      <c r="AZ88" s="44"/>
      <c r="BA88" s="44"/>
      <c r="BB88" s="90" t="s">
        <v>75</v>
      </c>
    </row>
    <row r="89" spans="1:54" x14ac:dyDescent="0.2">
      <c r="B89" s="1" t="s">
        <v>133</v>
      </c>
      <c r="C89" s="45" t="s">
        <v>187</v>
      </c>
      <c r="G89" s="11">
        <f t="shared" ref="G89:N92" si="77">+SUMIFS(89:89,$6:$6,G$3)</f>
        <v>378.06533209787318</v>
      </c>
      <c r="H89" s="11">
        <f t="shared" si="77"/>
        <v>484.20777812844858</v>
      </c>
      <c r="I89" s="11">
        <f t="shared" ca="1" si="77"/>
        <v>536.45913464546868</v>
      </c>
      <c r="J89" s="11">
        <f t="shared" ca="1" si="77"/>
        <v>561.82304637398386</v>
      </c>
      <c r="K89" s="11">
        <f t="shared" ca="1" si="77"/>
        <v>584.55560313352441</v>
      </c>
      <c r="L89" s="11">
        <f t="shared" ca="1" si="77"/>
        <v>608.35807571016051</v>
      </c>
      <c r="M89" s="11">
        <f t="shared" ca="1" si="77"/>
        <v>633.28816555994911</v>
      </c>
      <c r="N89" s="11">
        <f t="shared" ca="1" si="77"/>
        <v>659.40699504541135</v>
      </c>
      <c r="P89" s="97">
        <f ca="1">+IFERROR((N89/I89)^(1/5)-1,"NM")</f>
        <v>4.2133558204224597E-2</v>
      </c>
      <c r="V89" s="46">
        <f>+SUMIFS(South!41:41,South!$3:$3,Segments!V$3)</f>
        <v>93.249674453459718</v>
      </c>
      <c r="W89" s="46">
        <f>+SUMIFS(South!41:41,South!$3:$3,Segments!W$3)</f>
        <v>102.61565764441347</v>
      </c>
      <c r="X89" s="46">
        <f>+SUMIFS(South!41:41,South!$3:$3,Segments!X$3)</f>
        <v>104.7</v>
      </c>
      <c r="Y89" s="46">
        <f>+SUMIFS(South!41:41,South!$3:$3,Segments!Y$3)</f>
        <v>77.5</v>
      </c>
      <c r="Z89" s="46">
        <f>+SUMIFS(South!41:41,South!$3:$3,Segments!Z$3)</f>
        <v>91.667834175221742</v>
      </c>
      <c r="AA89" s="46">
        <f>+SUMIFS(South!41:41,South!$3:$3,Segments!AA$3)</f>
        <v>130.82951534396798</v>
      </c>
      <c r="AB89" s="46">
        <f>+SUMIFS(South!41:41,South!$3:$3,Segments!AB$3)</f>
        <v>131.87401703597951</v>
      </c>
      <c r="AC89" s="46">
        <f>+SUMIFS(South!41:41,South!$3:$3,Segments!AC$3)</f>
        <v>129.83641157327935</v>
      </c>
      <c r="AD89" s="46">
        <f ca="1">+SUMIFS(South!41:41,South!$3:$3,Segments!AD$3)</f>
        <v>125.26246974555667</v>
      </c>
      <c r="AE89" s="46">
        <f ca="1">+SUMIFS(South!41:41,South!$3:$3,Segments!AE$3)</f>
        <v>151.19829758605792</v>
      </c>
      <c r="AF89" s="46">
        <f ca="1">+SUMIFS(South!41:41,South!$3:$3,Segments!AF$3)</f>
        <v>144.845489198374</v>
      </c>
      <c r="AG89" s="46">
        <f ca="1">+SUMIFS(South!41:41,South!$3:$3,Segments!AG$3)</f>
        <v>115.15287811548012</v>
      </c>
      <c r="AH89" s="46">
        <f ca="1">+SUMIFS(South!41:41,South!$3:$3,Segments!AH$3)</f>
        <v>131.06295793865809</v>
      </c>
      <c r="AI89" s="46">
        <f ca="1">+SUMIFS(South!41:41,South!$3:$3,Segments!AI$3)</f>
        <v>158.72197394184673</v>
      </c>
      <c r="AJ89" s="46">
        <f ca="1">+SUMIFS(South!41:41,South!$3:$3,Segments!AJ$3)</f>
        <v>151.73280161878478</v>
      </c>
      <c r="AK89" s="46">
        <f ca="1">+SUMIFS(South!41:41,South!$3:$3,Segments!AK$3)</f>
        <v>120.30531287469425</v>
      </c>
      <c r="AL89" s="46">
        <f ca="1">+SUMIFS(South!41:41,South!$3:$3,Segments!AL$3)</f>
        <v>136.28999579823852</v>
      </c>
      <c r="AM89" s="46">
        <f ca="1">+SUMIFS(South!41:41,South!$3:$3,Segments!AM$3)</f>
        <v>165.37804510619367</v>
      </c>
      <c r="AN89" s="46">
        <f ca="1">+SUMIFS(South!41:41,South!$3:$3,Segments!AN$3)</f>
        <v>157.89654453396437</v>
      </c>
      <c r="AO89" s="46">
        <f ca="1">+SUMIFS(South!41:41,South!$3:$3,Segments!AO$3)</f>
        <v>124.99101769512791</v>
      </c>
      <c r="AP89" s="46">
        <f ca="1">+SUMIFS(South!41:41,South!$3:$3,Segments!AP$3)</f>
        <v>141.75932463562012</v>
      </c>
      <c r="AQ89" s="46">
        <f ca="1">+SUMIFS(South!41:41,South!$3:$3,Segments!AQ$3)</f>
        <v>172.35882959391313</v>
      </c>
      <c r="AR89" s="46">
        <f ca="1">+SUMIFS(South!41:41,South!$3:$3,Segments!AR$3)</f>
        <v>164.35157582179596</v>
      </c>
      <c r="AS89" s="46">
        <f ca="1">+SUMIFS(South!41:41,South!$3:$3,Segments!AS$3)</f>
        <v>129.88834565883127</v>
      </c>
      <c r="AT89" s="46">
        <f ca="1">+SUMIFS(South!41:41,South!$3:$3,Segments!AT$3)</f>
        <v>147.48385484970984</v>
      </c>
      <c r="AU89" s="46">
        <f ca="1">+SUMIFS(South!41:41,South!$3:$3,Segments!AU$3)</f>
        <v>179.68232086314333</v>
      </c>
      <c r="AV89" s="46">
        <f ca="1">+SUMIFS(South!41:41,South!$3:$3,Segments!AV$3)</f>
        <v>171.11365495508218</v>
      </c>
      <c r="AW89" s="46">
        <f ca="1">+SUMIFS(South!41:41,South!$3:$3,Segments!AW$3)</f>
        <v>135.00833489201378</v>
      </c>
      <c r="AX89" s="46">
        <f ca="1">+SUMIFS(South!41:41,South!$3:$3,Segments!AX$3)</f>
        <v>153.47725650157366</v>
      </c>
      <c r="AY89" s="46">
        <f ca="1">+SUMIFS(South!41:41,South!$3:$3,Segments!AY$3)</f>
        <v>187.36759681162366</v>
      </c>
      <c r="AZ89" s="46">
        <f ca="1">+SUMIFS(South!41:41,South!$3:$3,Segments!AZ$3)</f>
        <v>178.19947756503669</v>
      </c>
      <c r="BA89" s="46">
        <f ca="1">+SUMIFS(South!41:41,South!$3:$3,Segments!BA$3)</f>
        <v>140.36266416717734</v>
      </c>
      <c r="BB89" s="8" t="s">
        <v>75</v>
      </c>
    </row>
    <row r="90" spans="1:54" s="2" customFormat="1" x14ac:dyDescent="0.2">
      <c r="B90" s="18" t="s">
        <v>307</v>
      </c>
      <c r="C90" s="45" t="s">
        <v>187</v>
      </c>
      <c r="G90" s="13">
        <f t="shared" si="77"/>
        <v>249.76386179688166</v>
      </c>
      <c r="H90" s="13">
        <f t="shared" si="77"/>
        <v>268.7200392860214</v>
      </c>
      <c r="I90" s="13">
        <f t="shared" ca="1" si="77"/>
        <v>283.89353917047833</v>
      </c>
      <c r="J90" s="13">
        <f t="shared" ca="1" si="77"/>
        <v>325.99038333394901</v>
      </c>
      <c r="K90" s="13">
        <f t="shared" ca="1" si="77"/>
        <v>360.47033615254173</v>
      </c>
      <c r="L90" s="13">
        <f t="shared" ca="1" si="77"/>
        <v>389.30839981311578</v>
      </c>
      <c r="M90" s="13">
        <f t="shared" ca="1" si="77"/>
        <v>398.94559241254581</v>
      </c>
      <c r="N90" s="13">
        <f t="shared" ca="1" si="77"/>
        <v>408.67298439095498</v>
      </c>
      <c r="P90" s="131">
        <f ca="1">+IFERROR((N90/I90)^(1/5)-1,"NM")</f>
        <v>7.5583383011128102E-2</v>
      </c>
      <c r="V90" s="148">
        <f>+SUMIFS(South!56:56,South!$3:$3,Segments!V$3)</f>
        <v>54.506564469599624</v>
      </c>
      <c r="W90" s="148">
        <f>+SUMIFS(South!56:56,South!$3:$3,Segments!W$3)</f>
        <v>77.621811061602443</v>
      </c>
      <c r="X90" s="148">
        <f>+SUMIFS(South!56:56,South!$3:$3,Segments!X$3)</f>
        <v>67.418293308177397</v>
      </c>
      <c r="Y90" s="148">
        <f>+SUMIFS(South!56:56,South!$3:$3,Segments!Y$3)</f>
        <v>50.217192957502178</v>
      </c>
      <c r="Z90" s="148">
        <f>+SUMIFS(South!56:56,South!$3:$3,Segments!Z$3)</f>
        <v>48.571912679664024</v>
      </c>
      <c r="AA90" s="148">
        <f>+SUMIFS(South!56:56,South!$3:$3,Segments!AA$3)</f>
        <v>65.524876155400577</v>
      </c>
      <c r="AB90" s="148">
        <f>+SUMIFS(South!56:56,South!$3:$3,Segments!AB$3)</f>
        <v>78.123218005480254</v>
      </c>
      <c r="AC90" s="148">
        <f>+SUMIFS(South!56:56,South!$3:$3,Segments!AC$3)</f>
        <v>76.500032445476563</v>
      </c>
      <c r="AD90" s="148">
        <f ca="1">+SUMIFS(South!56:56,South!$3:$3,Segments!AD$3)</f>
        <v>69.919433624685098</v>
      </c>
      <c r="AE90" s="148">
        <f ca="1">+SUMIFS(South!56:56,South!$3:$3,Segments!AE$3)</f>
        <v>76.34638257225977</v>
      </c>
      <c r="AF90" s="148">
        <f ca="1">+SUMIFS(South!56:56,South!$3:$3,Segments!AF$3)</f>
        <v>82.740382690096183</v>
      </c>
      <c r="AG90" s="148">
        <f ca="1">+SUMIFS(South!56:56,South!$3:$3,Segments!AG$3)</f>
        <v>54.887340283437297</v>
      </c>
      <c r="AH90" s="148">
        <f ca="1">+SUMIFS(South!56:56,South!$3:$3,Segments!AH$3)</f>
        <v>74.538955651440205</v>
      </c>
      <c r="AI90" s="148">
        <f ca="1">+SUMIFS(South!56:56,South!$3:$3,Segments!AI$3)</f>
        <v>94.926819753244644</v>
      </c>
      <c r="AJ90" s="148">
        <f ca="1">+SUMIFS(South!56:56,South!$3:$3,Segments!AJ$3)</f>
        <v>92.167392349994117</v>
      </c>
      <c r="AK90" s="148">
        <f ca="1">+SUMIFS(South!56:56,South!$3:$3,Segments!AK$3)</f>
        <v>64.357215579270033</v>
      </c>
      <c r="AL90" s="148">
        <f ca="1">+SUMIFS(South!56:56,South!$3:$3,Segments!AL$3)</f>
        <v>80.725315153320551</v>
      </c>
      <c r="AM90" s="148">
        <f ca="1">+SUMIFS(South!56:56,South!$3:$3,Segments!AM$3)</f>
        <v>107.11490560246902</v>
      </c>
      <c r="AN90" s="148">
        <f ca="1">+SUMIFS(South!56:56,South!$3:$3,Segments!AN$3)</f>
        <v>100.259944135853</v>
      </c>
      <c r="AO90" s="148">
        <f ca="1">+SUMIFS(South!56:56,South!$3:$3,Segments!AO$3)</f>
        <v>72.370171260899141</v>
      </c>
      <c r="AP90" s="148">
        <f ca="1">+SUMIFS(South!56:56,South!$3:$3,Segments!AP$3)</f>
        <v>86.494283395502265</v>
      </c>
      <c r="AQ90" s="148">
        <f ca="1">+SUMIFS(South!56:56,South!$3:$3,Segments!AQ$3)</f>
        <v>115.93460225614504</v>
      </c>
      <c r="AR90" s="148">
        <f ca="1">+SUMIFS(South!56:56,South!$3:$3,Segments!AR$3)</f>
        <v>107.66800644887223</v>
      </c>
      <c r="AS90" s="148">
        <f ca="1">+SUMIFS(South!56:56,South!$3:$3,Segments!AS$3)</f>
        <v>79.211507712596216</v>
      </c>
      <c r="AT90" s="148">
        <f ca="1">+SUMIFS(South!56:56,South!$3:$3,Segments!AT$3)</f>
        <v>88.295506128379628</v>
      </c>
      <c r="AU90" s="148">
        <f ca="1">+SUMIFS(South!56:56,South!$3:$3,Segments!AU$3)</f>
        <v>119.43688593674268</v>
      </c>
      <c r="AV90" s="148">
        <f ca="1">+SUMIFS(South!56:56,South!$3:$3,Segments!AV$3)</f>
        <v>110.45357745687656</v>
      </c>
      <c r="AW90" s="148">
        <f ca="1">+SUMIFS(South!56:56,South!$3:$3,Segments!AW$3)</f>
        <v>80.759622890546879</v>
      </c>
      <c r="AX90" s="148">
        <f ca="1">+SUMIFS(South!56:56,South!$3:$3,Segments!AX$3)</f>
        <v>90.07895179537806</v>
      </c>
      <c r="AY90" s="148">
        <f ca="1">+SUMIFS(South!56:56,South!$3:$3,Segments!AY$3)</f>
        <v>123.03551748654148</v>
      </c>
      <c r="AZ90" s="148">
        <f ca="1">+SUMIFS(South!56:56,South!$3:$3,Segments!AZ$3)</f>
        <v>113.27626432721213</v>
      </c>
      <c r="BA90" s="148">
        <f ca="1">+SUMIFS(South!56:56,South!$3:$3,Segments!BA$3)</f>
        <v>82.282250781823322</v>
      </c>
      <c r="BB90" s="83" t="s">
        <v>75</v>
      </c>
    </row>
    <row r="91" spans="1:54" x14ac:dyDescent="0.2">
      <c r="B91" s="1" t="s">
        <v>304</v>
      </c>
      <c r="C91" s="45" t="s">
        <v>187</v>
      </c>
      <c r="G91" s="11">
        <f t="shared" si="77"/>
        <v>-22.731541463327368</v>
      </c>
      <c r="H91" s="11">
        <f t="shared" si="77"/>
        <v>-25.460152571200211</v>
      </c>
      <c r="I91" s="11">
        <f t="shared" ca="1" si="77"/>
        <v>-25.481924618466369</v>
      </c>
      <c r="J91" s="11">
        <f t="shared" ca="1" si="77"/>
        <v>-24.640413190481937</v>
      </c>
      <c r="K91" s="11">
        <f t="shared" ca="1" si="77"/>
        <v>-24.589075956576245</v>
      </c>
      <c r="L91" s="11">
        <f t="shared" ca="1" si="77"/>
        <v>-24.507860143348491</v>
      </c>
      <c r="M91" s="11">
        <f t="shared" ca="1" si="77"/>
        <v>-24.398438484588333</v>
      </c>
      <c r="N91" s="11">
        <f t="shared" ca="1" si="77"/>
        <v>-24.336781621803294</v>
      </c>
      <c r="P91" s="97">
        <f ca="1">+IFERROR((N91/I91)^(1/5)-1,"NM")</f>
        <v>-9.1539470546346813E-3</v>
      </c>
      <c r="V91" s="23">
        <f t="shared" ref="V91:BA91" si="78">+V94*V$125</f>
        <v>-5.9835980268958027</v>
      </c>
      <c r="W91" s="23">
        <f t="shared" si="78"/>
        <v>-5.7235066682728313</v>
      </c>
      <c r="X91" s="23">
        <f t="shared" si="78"/>
        <v>-6.1833423935575471</v>
      </c>
      <c r="Y91" s="23">
        <f t="shared" si="78"/>
        <v>-4.8410943746011839</v>
      </c>
      <c r="Z91" s="23">
        <f t="shared" si="78"/>
        <v>-6.4418108844068049</v>
      </c>
      <c r="AA91" s="23">
        <f t="shared" si="78"/>
        <v>-5.2751924413749389</v>
      </c>
      <c r="AB91" s="23">
        <f t="shared" si="78"/>
        <v>-5.8206006464724735</v>
      </c>
      <c r="AC91" s="23">
        <f t="shared" si="78"/>
        <v>-7.9225485989459958</v>
      </c>
      <c r="AD91" s="23">
        <f t="shared" ca="1" si="78"/>
        <v>-6.6991096763564579</v>
      </c>
      <c r="AE91" s="23">
        <f t="shared" ca="1" si="78"/>
        <v>-6.1349893492187242</v>
      </c>
      <c r="AF91" s="23">
        <f t="shared" ca="1" si="78"/>
        <v>-6.0213200574421997</v>
      </c>
      <c r="AG91" s="23">
        <f t="shared" ca="1" si="78"/>
        <v>-6.626505535448989</v>
      </c>
      <c r="AH91" s="23">
        <f t="shared" ca="1" si="78"/>
        <v>-6.4753868880340653</v>
      </c>
      <c r="AI91" s="23">
        <f t="shared" ca="1" si="78"/>
        <v>-5.949538749627604</v>
      </c>
      <c r="AJ91" s="23">
        <f t="shared" ca="1" si="78"/>
        <v>-5.8260970774328431</v>
      </c>
      <c r="AK91" s="23">
        <f t="shared" ca="1" si="78"/>
        <v>-6.3893904753874207</v>
      </c>
      <c r="AL91" s="23">
        <f t="shared" ca="1" si="78"/>
        <v>-6.4845391430882255</v>
      </c>
      <c r="AM91" s="23">
        <f t="shared" ca="1" si="78"/>
        <v>-5.9145895476794932</v>
      </c>
      <c r="AN91" s="23">
        <f t="shared" ca="1" si="78"/>
        <v>-5.785877820765065</v>
      </c>
      <c r="AO91" s="23">
        <f t="shared" ca="1" si="78"/>
        <v>-6.4040694450434605</v>
      </c>
      <c r="AP91" s="23">
        <f t="shared" ca="1" si="78"/>
        <v>-6.4851570716629716</v>
      </c>
      <c r="AQ91" s="23">
        <f t="shared" ca="1" si="78"/>
        <v>-5.8733161510384297</v>
      </c>
      <c r="AR91" s="23">
        <f t="shared" ca="1" si="78"/>
        <v>-5.7393053437634753</v>
      </c>
      <c r="AS91" s="23">
        <f t="shared" ca="1" si="78"/>
        <v>-6.4100815768836137</v>
      </c>
      <c r="AT91" s="23">
        <f t="shared" ca="1" si="78"/>
        <v>-6.4775431006139552</v>
      </c>
      <c r="AU91" s="23">
        <f t="shared" ca="1" si="78"/>
        <v>-5.8262714669213302</v>
      </c>
      <c r="AV91" s="23">
        <f t="shared" ca="1" si="78"/>
        <v>-5.686953721554822</v>
      </c>
      <c r="AW91" s="23">
        <f t="shared" ca="1" si="78"/>
        <v>-6.4076701954982269</v>
      </c>
      <c r="AX91" s="23">
        <f t="shared" ca="1" si="78"/>
        <v>-6.4803303916415187</v>
      </c>
      <c r="AY91" s="23">
        <f t="shared" ca="1" si="78"/>
        <v>-5.7934255225462827</v>
      </c>
      <c r="AZ91" s="23">
        <f t="shared" ca="1" si="78"/>
        <v>-5.6484097112404541</v>
      </c>
      <c r="BA91" s="23">
        <f t="shared" ca="1" si="78"/>
        <v>-6.4146159963750371</v>
      </c>
      <c r="BB91" s="8" t="s">
        <v>75</v>
      </c>
    </row>
    <row r="92" spans="1:54" x14ac:dyDescent="0.2">
      <c r="B92" s="18" t="s">
        <v>306</v>
      </c>
      <c r="C92" s="45" t="s">
        <v>187</v>
      </c>
      <c r="G92" s="13">
        <f t="shared" si="77"/>
        <v>227.03232033355428</v>
      </c>
      <c r="H92" s="13">
        <f t="shared" si="77"/>
        <v>243.25988671482122</v>
      </c>
      <c r="I92" s="13">
        <f t="shared" ca="1" si="77"/>
        <v>258.411614552012</v>
      </c>
      <c r="J92" s="13">
        <f t="shared" ca="1" si="77"/>
        <v>301.34997014346709</v>
      </c>
      <c r="K92" s="13">
        <f t="shared" ca="1" si="77"/>
        <v>335.88126019596547</v>
      </c>
      <c r="L92" s="13">
        <f t="shared" ca="1" si="77"/>
        <v>364.80053966976732</v>
      </c>
      <c r="M92" s="13">
        <f t="shared" ca="1" si="77"/>
        <v>374.54715392795742</v>
      </c>
      <c r="N92" s="13">
        <f t="shared" ca="1" si="77"/>
        <v>384.33620276915167</v>
      </c>
      <c r="P92" s="131">
        <f ca="1">+IFERROR((N92/I92)^(1/5)-1,"NM")</f>
        <v>8.2629490820288476E-2</v>
      </c>
      <c r="V92" s="24">
        <f t="shared" ref="V92:BA92" si="79">+V90+V91</f>
        <v>48.522966442703819</v>
      </c>
      <c r="W92" s="24">
        <f t="shared" si="79"/>
        <v>71.89830439332961</v>
      </c>
      <c r="X92" s="24">
        <f t="shared" si="79"/>
        <v>61.234950914619851</v>
      </c>
      <c r="Y92" s="24">
        <f t="shared" si="79"/>
        <v>45.376098582900994</v>
      </c>
      <c r="Z92" s="24">
        <f t="shared" si="79"/>
        <v>42.130101795257218</v>
      </c>
      <c r="AA92" s="24">
        <f t="shared" si="79"/>
        <v>60.249683714025636</v>
      </c>
      <c r="AB92" s="24">
        <f t="shared" si="79"/>
        <v>72.302617359007783</v>
      </c>
      <c r="AC92" s="24">
        <f t="shared" si="79"/>
        <v>68.577483846530569</v>
      </c>
      <c r="AD92" s="24">
        <f t="shared" ca="1" si="79"/>
        <v>63.220323948328641</v>
      </c>
      <c r="AE92" s="24">
        <f t="shared" ca="1" si="79"/>
        <v>70.211393223041043</v>
      </c>
      <c r="AF92" s="24">
        <f t="shared" ca="1" si="79"/>
        <v>76.719062632653987</v>
      </c>
      <c r="AG92" s="24">
        <f t="shared" ca="1" si="79"/>
        <v>48.260834747988305</v>
      </c>
      <c r="AH92" s="24">
        <f t="shared" ca="1" si="79"/>
        <v>68.063568763406138</v>
      </c>
      <c r="AI92" s="24">
        <f t="shared" ca="1" si="79"/>
        <v>88.977281003617037</v>
      </c>
      <c r="AJ92" s="24">
        <f t="shared" ca="1" si="79"/>
        <v>86.341295272561268</v>
      </c>
      <c r="AK92" s="24">
        <f t="shared" ca="1" si="79"/>
        <v>57.96782510388261</v>
      </c>
      <c r="AL92" s="24">
        <f t="shared" ca="1" si="79"/>
        <v>74.240776010232324</v>
      </c>
      <c r="AM92" s="24">
        <f t="shared" ca="1" si="79"/>
        <v>101.20031605478952</v>
      </c>
      <c r="AN92" s="24">
        <f t="shared" ca="1" si="79"/>
        <v>94.474066315087939</v>
      </c>
      <c r="AO92" s="24">
        <f t="shared" ca="1" si="79"/>
        <v>65.96610181585568</v>
      </c>
      <c r="AP92" s="24">
        <f t="shared" ca="1" si="79"/>
        <v>80.009126323839297</v>
      </c>
      <c r="AQ92" s="24">
        <f t="shared" ca="1" si="79"/>
        <v>110.06128610510662</v>
      </c>
      <c r="AR92" s="24">
        <f t="shared" ca="1" si="79"/>
        <v>101.92870110510876</v>
      </c>
      <c r="AS92" s="24">
        <f t="shared" ca="1" si="79"/>
        <v>72.801426135712603</v>
      </c>
      <c r="AT92" s="24">
        <f t="shared" ca="1" si="79"/>
        <v>81.817963027765671</v>
      </c>
      <c r="AU92" s="24">
        <f t="shared" ca="1" si="79"/>
        <v>113.61061446982136</v>
      </c>
      <c r="AV92" s="24">
        <f t="shared" ca="1" si="79"/>
        <v>104.76662373532173</v>
      </c>
      <c r="AW92" s="24">
        <f t="shared" ca="1" si="79"/>
        <v>74.351952695048652</v>
      </c>
      <c r="AX92" s="24">
        <f t="shared" ca="1" si="79"/>
        <v>83.598621403736544</v>
      </c>
      <c r="AY92" s="24">
        <f t="shared" ca="1" si="79"/>
        <v>117.24209196399519</v>
      </c>
      <c r="AZ92" s="24">
        <f t="shared" ca="1" si="79"/>
        <v>107.62785461597167</v>
      </c>
      <c r="BA92" s="24">
        <f t="shared" ca="1" si="79"/>
        <v>75.867634785448288</v>
      </c>
      <c r="BB92" s="8" t="s">
        <v>75</v>
      </c>
    </row>
    <row r="93" spans="1:54" x14ac:dyDescent="0.2">
      <c r="B93" s="18"/>
      <c r="BB93" s="8" t="s">
        <v>75</v>
      </c>
    </row>
    <row r="94" spans="1:54" s="25" customFormat="1" x14ac:dyDescent="0.2">
      <c r="B94" s="33" t="s">
        <v>305</v>
      </c>
      <c r="C94" s="45" t="s">
        <v>177</v>
      </c>
      <c r="G94" s="70">
        <f t="shared" ref="G94:N94" si="80">+G89/G$41</f>
        <v>0.41083391482712311</v>
      </c>
      <c r="H94" s="70">
        <f t="shared" si="80"/>
        <v>0.38788729558436102</v>
      </c>
      <c r="I94" s="70">
        <f t="shared" ca="1" si="80"/>
        <v>0.36159484272840692</v>
      </c>
      <c r="J94" s="70">
        <f t="shared" ca="1" si="80"/>
        <v>0.33630177677658357</v>
      </c>
      <c r="K94" s="70">
        <f t="shared" ca="1" si="80"/>
        <v>0.32241735125897758</v>
      </c>
      <c r="L94" s="70">
        <f t="shared" ca="1" si="80"/>
        <v>0.30872231348459744</v>
      </c>
      <c r="M94" s="70">
        <f t="shared" ca="1" si="80"/>
        <v>0.29526025259942074</v>
      </c>
      <c r="N94" s="70">
        <f t="shared" ca="1" si="80"/>
        <v>0.28295156565885371</v>
      </c>
      <c r="V94" s="70">
        <f t="shared" ref="V94:BA94" si="81">+V89/V$41</f>
        <v>0.47644587050805487</v>
      </c>
      <c r="W94" s="70">
        <f t="shared" si="81"/>
        <v>0.43328349235150315</v>
      </c>
      <c r="X94" s="70">
        <f t="shared" si="81"/>
        <v>0.39157523519314624</v>
      </c>
      <c r="Y94" s="70">
        <f t="shared" si="81"/>
        <v>0.35178448331772161</v>
      </c>
      <c r="Z94" s="70">
        <f t="shared" si="81"/>
        <v>0.38535184186385502</v>
      </c>
      <c r="AA94" s="70">
        <f t="shared" si="81"/>
        <v>0.37484774915836394</v>
      </c>
      <c r="AB94" s="70">
        <f t="shared" si="81"/>
        <v>0.36154059655386056</v>
      </c>
      <c r="AC94" s="70">
        <f t="shared" si="81"/>
        <v>0.4376551370171069</v>
      </c>
      <c r="AD94" s="70">
        <f t="shared" ca="1" si="81"/>
        <v>0.38280626722036903</v>
      </c>
      <c r="AE94" s="70">
        <f t="shared" ca="1" si="81"/>
        <v>0.35057081995535566</v>
      </c>
      <c r="AF94" s="70">
        <f t="shared" ca="1" si="81"/>
        <v>0.34407543185383999</v>
      </c>
      <c r="AG94" s="70">
        <f t="shared" ca="1" si="81"/>
        <v>0.37865745916851368</v>
      </c>
      <c r="AH94" s="70">
        <f t="shared" ca="1" si="81"/>
        <v>0.35579048835352006</v>
      </c>
      <c r="AI94" s="70">
        <f t="shared" ca="1" si="81"/>
        <v>0.32689773349602219</v>
      </c>
      <c r="AJ94" s="70">
        <f t="shared" ca="1" si="81"/>
        <v>0.32011522403477161</v>
      </c>
      <c r="AK94" s="70">
        <f t="shared" ca="1" si="81"/>
        <v>0.35106541073557257</v>
      </c>
      <c r="AL94" s="70">
        <f t="shared" ca="1" si="81"/>
        <v>0.34258976875994429</v>
      </c>
      <c r="AM94" s="70">
        <f t="shared" ca="1" si="81"/>
        <v>0.31247831507182444</v>
      </c>
      <c r="AN94" s="70">
        <f t="shared" ca="1" si="81"/>
        <v>0.30567824496856849</v>
      </c>
      <c r="AO94" s="70">
        <f t="shared" ca="1" si="81"/>
        <v>0.33833841108640428</v>
      </c>
      <c r="AP94" s="70">
        <f t="shared" ca="1" si="81"/>
        <v>0.32944462983527512</v>
      </c>
      <c r="AQ94" s="70">
        <f t="shared" ca="1" si="81"/>
        <v>0.2983632383769278</v>
      </c>
      <c r="AR94" s="70">
        <f t="shared" ca="1" si="81"/>
        <v>0.29155551725178586</v>
      </c>
      <c r="AS94" s="70">
        <f t="shared" ca="1" si="81"/>
        <v>0.32563081032188845</v>
      </c>
      <c r="AT94" s="70">
        <f t="shared" ca="1" si="81"/>
        <v>0.31640177085602822</v>
      </c>
      <c r="AU94" s="70">
        <f t="shared" ca="1" si="81"/>
        <v>0.28458978674292923</v>
      </c>
      <c r="AV94" s="70">
        <f t="shared" ca="1" si="81"/>
        <v>0.27778467859298045</v>
      </c>
      <c r="AW94" s="70">
        <f t="shared" ca="1" si="81"/>
        <v>0.31298876216275123</v>
      </c>
      <c r="AX94" s="70">
        <f t="shared" ca="1" si="81"/>
        <v>0.30436338340837771</v>
      </c>
      <c r="AY94" s="70">
        <f t="shared" ca="1" si="81"/>
        <v>0.27210134159841437</v>
      </c>
      <c r="AZ94" s="70">
        <f t="shared" ca="1" si="81"/>
        <v>0.26529034581435951</v>
      </c>
      <c r="BA94" s="70">
        <f t="shared" ca="1" si="81"/>
        <v>0.3012769581070166</v>
      </c>
      <c r="BB94" s="88" t="s">
        <v>75</v>
      </c>
    </row>
    <row r="95" spans="1:54" x14ac:dyDescent="0.2">
      <c r="B95" s="33" t="s">
        <v>308</v>
      </c>
      <c r="C95" s="45" t="s">
        <v>177</v>
      </c>
      <c r="G95" s="70">
        <f t="shared" ref="G95:N95" si="82">+G92/G$59</f>
        <v>0.4924629391450473</v>
      </c>
      <c r="H95" s="70">
        <f t="shared" si="82"/>
        <v>0.38164196622337537</v>
      </c>
      <c r="I95" s="70">
        <f t="shared" ca="1" si="82"/>
        <v>0.33003741754629912</v>
      </c>
      <c r="J95" s="70">
        <f t="shared" ca="1" si="82"/>
        <v>0.32437441836594133</v>
      </c>
      <c r="K95" s="70">
        <f t="shared" ca="1" si="82"/>
        <v>0.33871846497699976</v>
      </c>
      <c r="L95" s="70">
        <f t="shared" ca="1" si="82"/>
        <v>0.3274816758604352</v>
      </c>
      <c r="M95" s="70">
        <f t="shared" ca="1" si="82"/>
        <v>0.30481532724157762</v>
      </c>
      <c r="N95" s="70">
        <f t="shared" ca="1" si="82"/>
        <v>0.28456305143537652</v>
      </c>
      <c r="V95" s="70">
        <f t="shared" ref="V95:BA95" si="83">+V92/V$59</f>
        <v>0.59247385449662493</v>
      </c>
      <c r="W95" s="70">
        <f t="shared" si="83"/>
        <v>0.53346938678573552</v>
      </c>
      <c r="X95" s="70">
        <f t="shared" si="83"/>
        <v>0.4439502271802816</v>
      </c>
      <c r="Y95" s="70">
        <f t="shared" si="83"/>
        <v>0.42643443563909217</v>
      </c>
      <c r="Z95" s="70">
        <f t="shared" si="83"/>
        <v>0.40375980834012737</v>
      </c>
      <c r="AA95" s="70">
        <f t="shared" si="83"/>
        <v>0.32173220125439811</v>
      </c>
      <c r="AB95" s="70">
        <f t="shared" si="83"/>
        <v>0.357929201606008</v>
      </c>
      <c r="AC95" s="70">
        <f t="shared" si="83"/>
        <v>0.47692870001342857</v>
      </c>
      <c r="AD95" s="70">
        <f t="shared" ca="1" si="83"/>
        <v>0.39117881232919122</v>
      </c>
      <c r="AE95" s="70">
        <f t="shared" ca="1" si="83"/>
        <v>0.28480733926478397</v>
      </c>
      <c r="AF95" s="70">
        <f t="shared" ca="1" si="83"/>
        <v>0.31494945134202457</v>
      </c>
      <c r="AG95" s="70">
        <f t="shared" ca="1" si="83"/>
        <v>0.36770793942662455</v>
      </c>
      <c r="AH95" s="70">
        <f t="shared" ca="1" si="83"/>
        <v>0.36589534130779999</v>
      </c>
      <c r="AI95" s="70">
        <f t="shared" ca="1" si="83"/>
        <v>0.29878945096572873</v>
      </c>
      <c r="AJ95" s="70">
        <f t="shared" ca="1" si="83"/>
        <v>0.30304779838928358</v>
      </c>
      <c r="AK95" s="70">
        <f t="shared" ca="1" si="83"/>
        <v>0.36162699577869828</v>
      </c>
      <c r="AL95" s="70">
        <f t="shared" ca="1" si="83"/>
        <v>0.38256463676426428</v>
      </c>
      <c r="AM95" s="70">
        <f t="shared" ca="1" si="83"/>
        <v>0.31238038750101682</v>
      </c>
      <c r="AN95" s="70">
        <f t="shared" ca="1" si="83"/>
        <v>0.3085360338648217</v>
      </c>
      <c r="AO95" s="70">
        <f t="shared" ca="1" si="83"/>
        <v>0.39407008288881784</v>
      </c>
      <c r="AP95" s="70">
        <f t="shared" ca="1" si="83"/>
        <v>0.36869926315247131</v>
      </c>
      <c r="AQ95" s="70">
        <f t="shared" ca="1" si="83"/>
        <v>0.3023127305981248</v>
      </c>
      <c r="AR95" s="70">
        <f t="shared" ca="1" si="83"/>
        <v>0.29637265653722583</v>
      </c>
      <c r="AS95" s="70">
        <f t="shared" ca="1" si="83"/>
        <v>0.38525741218699439</v>
      </c>
      <c r="AT95" s="70">
        <f t="shared" ca="1" si="83"/>
        <v>0.34359371832067809</v>
      </c>
      <c r="AU95" s="70">
        <f t="shared" ca="1" si="83"/>
        <v>0.28210128580925825</v>
      </c>
      <c r="AV95" s="70">
        <f t="shared" ca="1" si="83"/>
        <v>0.27512193610870861</v>
      </c>
      <c r="AW95" s="70">
        <f t="shared" ca="1" si="83"/>
        <v>0.35899265796637281</v>
      </c>
      <c r="AX95" s="70">
        <f t="shared" ca="1" si="83"/>
        <v>0.32094213390351878</v>
      </c>
      <c r="AY95" s="70">
        <f t="shared" ca="1" si="83"/>
        <v>0.26416475547119533</v>
      </c>
      <c r="AZ95" s="70">
        <f t="shared" ca="1" si="83"/>
        <v>0.25626739342667426</v>
      </c>
      <c r="BA95" s="70">
        <f t="shared" ca="1" si="83"/>
        <v>0.33519989332975614</v>
      </c>
      <c r="BB95" s="8" t="s">
        <v>75</v>
      </c>
    </row>
    <row r="96" spans="1:54" x14ac:dyDescent="0.2">
      <c r="B96" s="18"/>
      <c r="BB96" s="8" t="s">
        <v>75</v>
      </c>
    </row>
    <row r="97" spans="1:54" s="35" customFormat="1" x14ac:dyDescent="0.2">
      <c r="A97" s="1" t="s">
        <v>75</v>
      </c>
      <c r="B97" s="36" t="s">
        <v>8</v>
      </c>
      <c r="C97" s="36"/>
      <c r="D97" s="36"/>
      <c r="E97" s="36"/>
      <c r="F97" s="36"/>
      <c r="G97" s="37"/>
      <c r="H97" s="37"/>
      <c r="I97" s="37"/>
      <c r="J97" s="37"/>
      <c r="K97" s="37"/>
      <c r="L97" s="37"/>
      <c r="M97" s="37"/>
      <c r="N97" s="37"/>
      <c r="R97" s="36"/>
      <c r="S97" s="36"/>
      <c r="T97" s="36"/>
      <c r="U97" s="36"/>
      <c r="V97" s="44"/>
      <c r="W97" s="44"/>
      <c r="X97" s="44"/>
      <c r="Y97" s="44"/>
      <c r="Z97" s="44"/>
      <c r="AA97" s="44"/>
      <c r="AB97" s="44"/>
      <c r="AC97" s="44"/>
      <c r="AD97" s="44"/>
      <c r="AE97" s="44"/>
      <c r="AF97" s="44"/>
      <c r="AG97" s="44"/>
      <c r="AH97" s="44"/>
      <c r="AI97" s="44"/>
      <c r="AJ97" s="44"/>
      <c r="AK97" s="44"/>
      <c r="AL97" s="44"/>
      <c r="AM97" s="44"/>
      <c r="AN97" s="44"/>
      <c r="AO97" s="44"/>
      <c r="AP97" s="44"/>
      <c r="AQ97" s="44"/>
      <c r="AR97" s="44"/>
      <c r="AS97" s="44"/>
      <c r="AT97" s="44"/>
      <c r="AU97" s="44"/>
      <c r="AV97" s="44"/>
      <c r="AW97" s="44"/>
      <c r="AX97" s="44"/>
      <c r="AY97" s="44"/>
      <c r="AZ97" s="44"/>
      <c r="BA97" s="44"/>
      <c r="BB97" s="90" t="s">
        <v>75</v>
      </c>
    </row>
    <row r="98" spans="1:54" x14ac:dyDescent="0.2">
      <c r="B98" s="1" t="s">
        <v>133</v>
      </c>
      <c r="C98" s="45" t="s">
        <v>187</v>
      </c>
      <c r="G98" s="11">
        <f t="shared" ref="G98:N101" si="84">+SUMIFS(98:98,$6:$6,G$3)</f>
        <v>161.6330838386508</v>
      </c>
      <c r="H98" s="11">
        <f t="shared" si="84"/>
        <v>223.39514548</v>
      </c>
      <c r="I98" s="11">
        <f t="shared" ca="1" si="84"/>
        <v>247.44936125251576</v>
      </c>
      <c r="J98" s="11">
        <f t="shared" ca="1" si="84"/>
        <v>254.87284209009127</v>
      </c>
      <c r="K98" s="11">
        <f t="shared" ca="1" si="84"/>
        <v>262.51902735279396</v>
      </c>
      <c r="L98" s="11">
        <f t="shared" ca="1" si="84"/>
        <v>270.3945981733778</v>
      </c>
      <c r="M98" s="11">
        <f t="shared" ca="1" si="84"/>
        <v>278.50643611857907</v>
      </c>
      <c r="N98" s="11">
        <f t="shared" ca="1" si="84"/>
        <v>286.86162920213644</v>
      </c>
      <c r="P98" s="97">
        <f ca="1">+IFERROR((N98/I98)^(1/5)-1,"NM")</f>
        <v>3.0000000000000027E-2</v>
      </c>
      <c r="V98" s="46">
        <f>+SUMIFS('Costal Nav'!31:31,'Costal Nav'!$3:$3,Segments!V$3)</f>
        <v>28.551096649999998</v>
      </c>
      <c r="W98" s="46">
        <f>+SUMIFS('Costal Nav'!31:31,'Costal Nav'!$3:$3,Segments!W$3)</f>
        <v>33.193074518650775</v>
      </c>
      <c r="X98" s="46">
        <f>+SUMIFS('Costal Nav'!31:31,'Costal Nav'!$3:$3,Segments!X$3)</f>
        <v>30.66828928999999</v>
      </c>
      <c r="Y98" s="46">
        <f>+SUMIFS('Costal Nav'!31:31,'Costal Nav'!$3:$3,Segments!Y$3)</f>
        <v>69.220623380000021</v>
      </c>
      <c r="Z98" s="46">
        <f>+SUMIFS('Costal Nav'!31:31,'Costal Nav'!$3:$3,Segments!Z$3)</f>
        <v>47.639664220000007</v>
      </c>
      <c r="AA98" s="46">
        <f>+SUMIFS('Costal Nav'!31:31,'Costal Nav'!$3:$3,Segments!AA$3)</f>
        <v>50.939418109999991</v>
      </c>
      <c r="AB98" s="46">
        <f>+SUMIFS('Costal Nav'!31:31,'Costal Nav'!$3:$3,Segments!AB$3)</f>
        <v>60.095779599999972</v>
      </c>
      <c r="AC98" s="46">
        <f>+SUMIFS('Costal Nav'!31:31,'Costal Nav'!$3:$3,Segments!AC$3)</f>
        <v>64.720283550000019</v>
      </c>
      <c r="AD98" s="46">
        <f ca="1">+SUMIFS('Costal Nav'!31:31,'Costal Nav'!$3:$3,Segments!AD$3)</f>
        <v>61.862340313128932</v>
      </c>
      <c r="AE98" s="46">
        <f ca="1">+SUMIFS('Costal Nav'!31:31,'Costal Nav'!$3:$3,Segments!AE$3)</f>
        <v>61.862340313128939</v>
      </c>
      <c r="AF98" s="46">
        <f ca="1">+SUMIFS('Costal Nav'!31:31,'Costal Nav'!$3:$3,Segments!AF$3)</f>
        <v>61.862340313128939</v>
      </c>
      <c r="AG98" s="46">
        <f ca="1">+SUMIFS('Costal Nav'!31:31,'Costal Nav'!$3:$3,Segments!AG$3)</f>
        <v>61.862340313128939</v>
      </c>
      <c r="AH98" s="46">
        <f ca="1">+SUMIFS('Costal Nav'!31:31,'Costal Nav'!$3:$3,Segments!AH$3)</f>
        <v>63.718210522522817</v>
      </c>
      <c r="AI98" s="46">
        <f ca="1">+SUMIFS('Costal Nav'!31:31,'Costal Nav'!$3:$3,Segments!AI$3)</f>
        <v>63.718210522522817</v>
      </c>
      <c r="AJ98" s="46">
        <f ca="1">+SUMIFS('Costal Nav'!31:31,'Costal Nav'!$3:$3,Segments!AJ$3)</f>
        <v>63.718210522522817</v>
      </c>
      <c r="AK98" s="46">
        <f ca="1">+SUMIFS('Costal Nav'!31:31,'Costal Nav'!$3:$3,Segments!AK$3)</f>
        <v>63.718210522522803</v>
      </c>
      <c r="AL98" s="46">
        <f ca="1">+SUMIFS('Costal Nav'!31:31,'Costal Nav'!$3:$3,Segments!AL$3)</f>
        <v>65.629756838198489</v>
      </c>
      <c r="AM98" s="46">
        <f ca="1">+SUMIFS('Costal Nav'!31:31,'Costal Nav'!$3:$3,Segments!AM$3)</f>
        <v>65.629756838198489</v>
      </c>
      <c r="AN98" s="46">
        <f ca="1">+SUMIFS('Costal Nav'!31:31,'Costal Nav'!$3:$3,Segments!AN$3)</f>
        <v>65.629756838198489</v>
      </c>
      <c r="AO98" s="46">
        <f ca="1">+SUMIFS('Costal Nav'!31:31,'Costal Nav'!$3:$3,Segments!AO$3)</f>
        <v>65.629756838198489</v>
      </c>
      <c r="AP98" s="46">
        <f ca="1">+SUMIFS('Costal Nav'!31:31,'Costal Nav'!$3:$3,Segments!AP$3)</f>
        <v>67.59864954334445</v>
      </c>
      <c r="AQ98" s="46">
        <f ca="1">+SUMIFS('Costal Nav'!31:31,'Costal Nav'!$3:$3,Segments!AQ$3)</f>
        <v>67.59864954334445</v>
      </c>
      <c r="AR98" s="46">
        <f ca="1">+SUMIFS('Costal Nav'!31:31,'Costal Nav'!$3:$3,Segments!AR$3)</f>
        <v>67.59864954334445</v>
      </c>
      <c r="AS98" s="46">
        <f ca="1">+SUMIFS('Costal Nav'!31:31,'Costal Nav'!$3:$3,Segments!AS$3)</f>
        <v>67.59864954334445</v>
      </c>
      <c r="AT98" s="46">
        <f ca="1">+SUMIFS('Costal Nav'!31:31,'Costal Nav'!$3:$3,Segments!AT$3)</f>
        <v>69.626609029644769</v>
      </c>
      <c r="AU98" s="46">
        <f ca="1">+SUMIFS('Costal Nav'!31:31,'Costal Nav'!$3:$3,Segments!AU$3)</f>
        <v>69.626609029644769</v>
      </c>
      <c r="AV98" s="46">
        <f ca="1">+SUMIFS('Costal Nav'!31:31,'Costal Nav'!$3:$3,Segments!AV$3)</f>
        <v>69.626609029644769</v>
      </c>
      <c r="AW98" s="46">
        <f ca="1">+SUMIFS('Costal Nav'!31:31,'Costal Nav'!$3:$3,Segments!AW$3)</f>
        <v>69.626609029644769</v>
      </c>
      <c r="AX98" s="46">
        <f ca="1">+SUMIFS('Costal Nav'!31:31,'Costal Nav'!$3:$3,Segments!AX$3)</f>
        <v>71.71540730053411</v>
      </c>
      <c r="AY98" s="46">
        <f ca="1">+SUMIFS('Costal Nav'!31:31,'Costal Nav'!$3:$3,Segments!AY$3)</f>
        <v>71.71540730053411</v>
      </c>
      <c r="AZ98" s="46">
        <f ca="1">+SUMIFS('Costal Nav'!31:31,'Costal Nav'!$3:$3,Segments!AZ$3)</f>
        <v>71.71540730053411</v>
      </c>
      <c r="BA98" s="46">
        <f ca="1">+SUMIFS('Costal Nav'!31:31,'Costal Nav'!$3:$3,Segments!BA$3)</f>
        <v>71.71540730053411</v>
      </c>
      <c r="BB98" s="8" t="s">
        <v>75</v>
      </c>
    </row>
    <row r="99" spans="1:54" s="2" customFormat="1" x14ac:dyDescent="0.2">
      <c r="B99" s="18" t="s">
        <v>307</v>
      </c>
      <c r="C99" s="45" t="s">
        <v>187</v>
      </c>
      <c r="G99" s="13">
        <f t="shared" si="84"/>
        <v>82.688419599587434</v>
      </c>
      <c r="H99" s="13">
        <f t="shared" si="84"/>
        <v>139.65782273999997</v>
      </c>
      <c r="I99" s="13">
        <f t="shared" ca="1" si="84"/>
        <v>164.12833820598229</v>
      </c>
      <c r="J99" s="13">
        <f t="shared" ca="1" si="84"/>
        <v>167.21905420948434</v>
      </c>
      <c r="K99" s="13">
        <f t="shared" ca="1" si="84"/>
        <v>171.31960063442804</v>
      </c>
      <c r="L99" s="13">
        <f t="shared" ca="1" si="84"/>
        <v>175.50610978212171</v>
      </c>
      <c r="M99" s="13">
        <f t="shared" ca="1" si="84"/>
        <v>179.77966169506908</v>
      </c>
      <c r="N99" s="13">
        <f t="shared" ca="1" si="84"/>
        <v>184.1413081882672</v>
      </c>
      <c r="P99" s="131">
        <f ca="1">+IFERROR((N99/I99)^(1/5)-1,"NM")</f>
        <v>2.3277748535733611E-2</v>
      </c>
      <c r="V99" s="148">
        <f>+SUMIFS('Costal Nav'!41:41,'Costal Nav'!$3:$3,Segments!V$3)</f>
        <v>13.088755149669421</v>
      </c>
      <c r="W99" s="148">
        <f>+SUMIFS('Costal Nav'!41:41,'Costal Nav'!$3:$3,Segments!W$3)</f>
        <v>12.302830184821568</v>
      </c>
      <c r="X99" s="148">
        <f>+SUMIFS('Costal Nav'!41:41,'Costal Nav'!$3:$3,Segments!X$3)</f>
        <v>16.778130398622583</v>
      </c>
      <c r="Y99" s="148">
        <f>+SUMIFS('Costal Nav'!41:41,'Costal Nav'!$3:$3,Segments!Y$3)</f>
        <v>40.518703866473849</v>
      </c>
      <c r="Z99" s="148">
        <f>+SUMIFS('Costal Nav'!41:41,'Costal Nav'!$3:$3,Segments!Z$3)</f>
        <v>26.237870530000002</v>
      </c>
      <c r="AA99" s="148">
        <f>+SUMIFS('Costal Nav'!41:41,'Costal Nav'!$3:$3,Segments!AA$3)</f>
        <v>32.672495949999991</v>
      </c>
      <c r="AB99" s="148">
        <f>+SUMIFS('Costal Nav'!41:41,'Costal Nav'!$3:$3,Segments!AB$3)</f>
        <v>38.575260729999961</v>
      </c>
      <c r="AC99" s="148">
        <f>+SUMIFS('Costal Nav'!41:41,'Costal Nav'!$3:$3,Segments!AC$3)</f>
        <v>42.17219553000001</v>
      </c>
      <c r="AD99" s="148">
        <f ca="1">+SUMIFS('Costal Nav'!41:41,'Costal Nav'!$3:$3,Segments!AD$3)</f>
        <v>39.796383548506554</v>
      </c>
      <c r="AE99" s="148">
        <f ca="1">+SUMIFS('Costal Nav'!41:41,'Costal Nav'!$3:$3,Segments!AE$3)</f>
        <v>44.297181265155629</v>
      </c>
      <c r="AF99" s="148">
        <f ca="1">+SUMIFS('Costal Nav'!41:41,'Costal Nav'!$3:$3,Segments!AF$3)</f>
        <v>38.720405098754171</v>
      </c>
      <c r="AG99" s="148">
        <f ca="1">+SUMIFS('Costal Nav'!41:41,'Costal Nav'!$3:$3,Segments!AG$3)</f>
        <v>41.314368293565927</v>
      </c>
      <c r="AH99" s="148">
        <f ca="1">+SUMIFS('Costal Nav'!41:41,'Costal Nav'!$3:$3,Segments!AH$3)</f>
        <v>39.797286487059253</v>
      </c>
      <c r="AI99" s="148">
        <f ca="1">+SUMIFS('Costal Nav'!41:41,'Costal Nav'!$3:$3,Segments!AI$3)</f>
        <v>45.442532150538788</v>
      </c>
      <c r="AJ99" s="148">
        <f ca="1">+SUMIFS('Costal Nav'!41:41,'Costal Nav'!$3:$3,Segments!AJ$3)</f>
        <v>39.640172644920831</v>
      </c>
      <c r="AK99" s="148">
        <f ca="1">+SUMIFS('Costal Nav'!41:41,'Costal Nav'!$3:$3,Segments!AK$3)</f>
        <v>42.339062926965468</v>
      </c>
      <c r="AL99" s="148">
        <f ca="1">+SUMIFS('Costal Nav'!41:41,'Costal Nav'!$3:$3,Segments!AL$3)</f>
        <v>40.741219658500384</v>
      </c>
      <c r="AM99" s="148">
        <f ca="1">+SUMIFS('Costal Nav'!41:41,'Costal Nav'!$3:$3,Segments!AM$3)</f>
        <v>46.614818286034215</v>
      </c>
      <c r="AN99" s="148">
        <f ca="1">+SUMIFS('Costal Nav'!41:41,'Costal Nav'!$3:$3,Segments!AN$3)</f>
        <v>40.5777504841612</v>
      </c>
      <c r="AO99" s="148">
        <f ca="1">+SUMIFS('Costal Nav'!41:41,'Costal Nav'!$3:$3,Segments!AO$3)</f>
        <v>43.38581220573225</v>
      </c>
      <c r="AP99" s="148">
        <f ca="1">+SUMIFS('Costal Nav'!41:41,'Costal Nav'!$3:$3,Segments!AP$3)</f>
        <v>41.703358791746567</v>
      </c>
      <c r="AQ99" s="148">
        <f ca="1">+SUMIFS('Costal Nav'!41:41,'Costal Nav'!$3:$3,Segments!AQ$3)</f>
        <v>47.814547373060364</v>
      </c>
      <c r="AR99" s="148">
        <f ca="1">+SUMIFS('Costal Nav'!41:41,'Costal Nav'!$3:$3,Segments!AR$3)</f>
        <v>41.533277208892862</v>
      </c>
      <c r="AS99" s="148">
        <f ca="1">+SUMIFS('Costal Nav'!41:41,'Costal Nav'!$3:$3,Segments!AS$3)</f>
        <v>44.454926408421933</v>
      </c>
      <c r="AT99" s="148">
        <f ca="1">+SUMIFS('Costal Nav'!41:41,'Costal Nav'!$3:$3,Segments!AT$3)</f>
        <v>42.683841028929166</v>
      </c>
      <c r="AU99" s="148">
        <f ca="1">+SUMIFS('Costal Nav'!41:41,'Costal Nav'!$3:$3,Segments!AU$3)</f>
        <v>49.042230194526766</v>
      </c>
      <c r="AV99" s="148">
        <f ca="1">+SUMIFS('Costal Nav'!41:41,'Costal Nav'!$3:$3,Segments!AV$3)</f>
        <v>42.506879562383759</v>
      </c>
      <c r="AW99" s="148">
        <f ca="1">+SUMIFS('Costal Nav'!41:41,'Costal Nav'!$3:$3,Segments!AW$3)</f>
        <v>45.546710909229382</v>
      </c>
      <c r="AX99" s="148">
        <f ca="1">+SUMIFS('Costal Nav'!41:41,'Costal Nav'!$3:$3,Segments!AX$3)</f>
        <v>43.682791080706885</v>
      </c>
      <c r="AY99" s="148">
        <f ca="1">+SUMIFS('Costal Nav'!41:41,'Costal Nav'!$3:$3,Segments!AY$3)</f>
        <v>50.29838021582362</v>
      </c>
      <c r="AZ99" s="148">
        <f ca="1">+SUMIFS('Costal Nav'!41:41,'Costal Nav'!$3:$3,Segments!AZ$3)</f>
        <v>43.498671435790172</v>
      </c>
      <c r="BA99" s="148">
        <f ca="1">+SUMIFS('Costal Nav'!41:41,'Costal Nav'!$3:$3,Segments!BA$3)</f>
        <v>46.661465455946548</v>
      </c>
      <c r="BB99" s="83" t="s">
        <v>75</v>
      </c>
    </row>
    <row r="100" spans="1:54" x14ac:dyDescent="0.2">
      <c r="B100" s="1" t="s">
        <v>304</v>
      </c>
      <c r="C100" s="45" t="s">
        <v>187</v>
      </c>
      <c r="G100" s="11">
        <f t="shared" si="84"/>
        <v>-9.8185503910942522</v>
      </c>
      <c r="H100" s="11">
        <f t="shared" si="84"/>
        <v>-12.003415551115365</v>
      </c>
      <c r="I100" s="11">
        <f t="shared" ca="1" si="84"/>
        <v>-11.950090248310948</v>
      </c>
      <c r="J100" s="11">
        <f t="shared" ca="1" si="84"/>
        <v>-11.367175516715257</v>
      </c>
      <c r="K100" s="11">
        <f t="shared" ca="1" si="84"/>
        <v>-11.237307257877371</v>
      </c>
      <c r="L100" s="11">
        <f t="shared" ca="1" si="84"/>
        <v>-11.092624941389735</v>
      </c>
      <c r="M100" s="11">
        <f t="shared" ca="1" si="84"/>
        <v>-10.934301862011429</v>
      </c>
      <c r="N100" s="11">
        <f t="shared" ca="1" si="84"/>
        <v>-10.796102959793206</v>
      </c>
      <c r="P100" s="97">
        <f ca="1">+IFERROR((N100/I100)^(1/5)-1,"NM")</f>
        <v>-2.0105846428612018E-2</v>
      </c>
      <c r="V100" s="23">
        <f t="shared" ref="V100:BA100" si="85">+V103*V$125</f>
        <v>-1.8320523538762121</v>
      </c>
      <c r="W100" s="23">
        <f t="shared" si="85"/>
        <v>-1.8513820181935707</v>
      </c>
      <c r="X100" s="23">
        <f t="shared" si="85"/>
        <v>-1.8111989809431119</v>
      </c>
      <c r="Y100" s="23">
        <f t="shared" si="85"/>
        <v>-4.3239170380813583</v>
      </c>
      <c r="Z100" s="23">
        <f t="shared" si="85"/>
        <v>-3.3478014427097063</v>
      </c>
      <c r="AA100" s="23">
        <f t="shared" si="85"/>
        <v>-2.0539343333606488</v>
      </c>
      <c r="AB100" s="23">
        <f t="shared" si="85"/>
        <v>-2.6524825849097486</v>
      </c>
      <c r="AC100" s="23">
        <f t="shared" si="85"/>
        <v>-3.9491971901352625</v>
      </c>
      <c r="AD100" s="23">
        <f t="shared" ca="1" si="85"/>
        <v>-3.3084339102968925</v>
      </c>
      <c r="AE100" s="23">
        <f t="shared" ca="1" si="85"/>
        <v>-2.5101129113095673</v>
      </c>
      <c r="AF100" s="23">
        <f t="shared" ca="1" si="85"/>
        <v>-2.5716572368892243</v>
      </c>
      <c r="AG100" s="23">
        <f t="shared" ca="1" si="85"/>
        <v>-3.5598861898152645</v>
      </c>
      <c r="AH100" s="23">
        <f t="shared" ca="1" si="85"/>
        <v>-3.1481058526059611</v>
      </c>
      <c r="AI100" s="23">
        <f t="shared" ca="1" si="85"/>
        <v>-2.388415120766914</v>
      </c>
      <c r="AJ100" s="23">
        <f t="shared" ca="1" si="85"/>
        <v>-2.4465934599770947</v>
      </c>
      <c r="AK100" s="23">
        <f t="shared" ca="1" si="85"/>
        <v>-3.3840610833652875</v>
      </c>
      <c r="AL100" s="23">
        <f t="shared" ca="1" si="85"/>
        <v>-3.122596964480651</v>
      </c>
      <c r="AM100" s="23">
        <f t="shared" ca="1" si="85"/>
        <v>-2.3471862517343172</v>
      </c>
      <c r="AN100" s="23">
        <f t="shared" ca="1" si="85"/>
        <v>-2.4049022452841329</v>
      </c>
      <c r="AO100" s="23">
        <f t="shared" ca="1" si="85"/>
        <v>-3.362621796378269</v>
      </c>
      <c r="AP100" s="23">
        <f t="shared" ca="1" si="85"/>
        <v>-3.092479886227764</v>
      </c>
      <c r="AQ100" s="23">
        <f t="shared" ca="1" si="85"/>
        <v>-2.3034981212551271</v>
      </c>
      <c r="AR100" s="23">
        <f t="shared" ca="1" si="85"/>
        <v>-2.3606058452155074</v>
      </c>
      <c r="AS100" s="23">
        <f t="shared" ca="1" si="85"/>
        <v>-3.3360410886913363</v>
      </c>
      <c r="AT100" s="23">
        <f t="shared" ca="1" si="85"/>
        <v>-3.0580253099480745</v>
      </c>
      <c r="AU100" s="23">
        <f t="shared" ca="1" si="85"/>
        <v>-2.2576707801814497</v>
      </c>
      <c r="AV100" s="23">
        <f t="shared" ca="1" si="85"/>
        <v>-2.3140368513799929</v>
      </c>
      <c r="AW100" s="23">
        <f t="shared" ca="1" si="85"/>
        <v>-3.3045689205019113</v>
      </c>
      <c r="AX100" s="23">
        <f t="shared" ca="1" si="85"/>
        <v>-3.028067767642407</v>
      </c>
      <c r="AY100" s="23">
        <f t="shared" ca="1" si="85"/>
        <v>-2.2174478302800193</v>
      </c>
      <c r="AZ100" s="23">
        <f t="shared" ca="1" si="85"/>
        <v>-2.2731716645693409</v>
      </c>
      <c r="BA100" s="23">
        <f t="shared" ca="1" si="85"/>
        <v>-3.2774156973014392</v>
      </c>
      <c r="BB100" s="8" t="s">
        <v>75</v>
      </c>
    </row>
    <row r="101" spans="1:54" x14ac:dyDescent="0.2">
      <c r="B101" s="18" t="s">
        <v>306</v>
      </c>
      <c r="C101" s="45" t="s">
        <v>187</v>
      </c>
      <c r="G101" s="13">
        <f t="shared" si="84"/>
        <v>72.869869208493171</v>
      </c>
      <c r="H101" s="13">
        <f t="shared" si="84"/>
        <v>127.65440718888459</v>
      </c>
      <c r="I101" s="13">
        <f t="shared" ca="1" si="84"/>
        <v>152.17824795767132</v>
      </c>
      <c r="J101" s="13">
        <f t="shared" ca="1" si="84"/>
        <v>155.85187869276908</v>
      </c>
      <c r="K101" s="13">
        <f t="shared" ca="1" si="84"/>
        <v>160.08229337655069</v>
      </c>
      <c r="L101" s="13">
        <f t="shared" ca="1" si="84"/>
        <v>164.413484840732</v>
      </c>
      <c r="M101" s="13">
        <f t="shared" ca="1" si="84"/>
        <v>168.84535983305764</v>
      </c>
      <c r="N101" s="13">
        <f t="shared" ca="1" si="84"/>
        <v>173.34520522847401</v>
      </c>
      <c r="P101" s="131">
        <f ca="1">+IFERROR((N101/I101)^(1/5)-1,"NM")</f>
        <v>2.638867331697492E-2</v>
      </c>
      <c r="V101" s="24">
        <f t="shared" ref="V101:BA101" si="86">+V99+V100</f>
        <v>11.256702795793208</v>
      </c>
      <c r="W101" s="24">
        <f t="shared" si="86"/>
        <v>10.451448166627998</v>
      </c>
      <c r="X101" s="24">
        <f t="shared" si="86"/>
        <v>14.96693141767947</v>
      </c>
      <c r="Y101" s="24">
        <f t="shared" si="86"/>
        <v>36.194786828392495</v>
      </c>
      <c r="Z101" s="24">
        <f t="shared" si="86"/>
        <v>22.890069087290296</v>
      </c>
      <c r="AA101" s="24">
        <f t="shared" si="86"/>
        <v>30.618561616639344</v>
      </c>
      <c r="AB101" s="24">
        <f t="shared" si="86"/>
        <v>35.922778145090213</v>
      </c>
      <c r="AC101" s="24">
        <f t="shared" si="86"/>
        <v>38.222998339864745</v>
      </c>
      <c r="AD101" s="24">
        <f t="shared" ca="1" si="86"/>
        <v>36.487949638209663</v>
      </c>
      <c r="AE101" s="24">
        <f t="shared" ca="1" si="86"/>
        <v>41.78706835384606</v>
      </c>
      <c r="AF101" s="24">
        <f t="shared" ca="1" si="86"/>
        <v>36.148747861864948</v>
      </c>
      <c r="AG101" s="24">
        <f t="shared" ca="1" si="86"/>
        <v>37.754482103750661</v>
      </c>
      <c r="AH101" s="24">
        <f t="shared" ca="1" si="86"/>
        <v>36.649180634453295</v>
      </c>
      <c r="AI101" s="24">
        <f t="shared" ca="1" si="86"/>
        <v>43.054117029771874</v>
      </c>
      <c r="AJ101" s="24">
        <f t="shared" ca="1" si="86"/>
        <v>37.193579184943736</v>
      </c>
      <c r="AK101" s="24">
        <f t="shared" ca="1" si="86"/>
        <v>38.955001843600179</v>
      </c>
      <c r="AL101" s="24">
        <f t="shared" ca="1" si="86"/>
        <v>37.618622694019734</v>
      </c>
      <c r="AM101" s="24">
        <f t="shared" ca="1" si="86"/>
        <v>44.267632034299901</v>
      </c>
      <c r="AN101" s="24">
        <f t="shared" ca="1" si="86"/>
        <v>38.172848238877066</v>
      </c>
      <c r="AO101" s="24">
        <f t="shared" ca="1" si="86"/>
        <v>40.02319040935398</v>
      </c>
      <c r="AP101" s="24">
        <f t="shared" ca="1" si="86"/>
        <v>38.610878905518803</v>
      </c>
      <c r="AQ101" s="24">
        <f t="shared" ca="1" si="86"/>
        <v>45.51104925180524</v>
      </c>
      <c r="AR101" s="24">
        <f t="shared" ca="1" si="86"/>
        <v>39.172671363677352</v>
      </c>
      <c r="AS101" s="24">
        <f t="shared" ca="1" si="86"/>
        <v>41.118885319730595</v>
      </c>
      <c r="AT101" s="24">
        <f t="shared" ca="1" si="86"/>
        <v>39.625815718981094</v>
      </c>
      <c r="AU101" s="24">
        <f t="shared" ca="1" si="86"/>
        <v>46.784559414345317</v>
      </c>
      <c r="AV101" s="24">
        <f t="shared" ca="1" si="86"/>
        <v>40.192842711003763</v>
      </c>
      <c r="AW101" s="24">
        <f t="shared" ca="1" si="86"/>
        <v>42.242141988727468</v>
      </c>
      <c r="AX101" s="24">
        <f t="shared" ca="1" si="86"/>
        <v>40.65472331306448</v>
      </c>
      <c r="AY101" s="24">
        <f t="shared" ca="1" si="86"/>
        <v>48.080932385543598</v>
      </c>
      <c r="AZ101" s="24">
        <f t="shared" ca="1" si="86"/>
        <v>41.225499771220832</v>
      </c>
      <c r="BA101" s="24">
        <f t="shared" ca="1" si="86"/>
        <v>43.384049758645105</v>
      </c>
      <c r="BB101" s="8" t="s">
        <v>75</v>
      </c>
    </row>
    <row r="102" spans="1:54" x14ac:dyDescent="0.2">
      <c r="B102" s="18"/>
      <c r="BB102" s="8" t="s">
        <v>75</v>
      </c>
    </row>
    <row r="103" spans="1:54" s="25" customFormat="1" x14ac:dyDescent="0.2">
      <c r="B103" s="33" t="s">
        <v>305</v>
      </c>
      <c r="C103" s="45" t="s">
        <v>177</v>
      </c>
      <c r="G103" s="70">
        <f t="shared" ref="G103:N103" si="87">+G98/G$41</f>
        <v>0.17564253307897276</v>
      </c>
      <c r="H103" s="70">
        <f t="shared" si="87"/>
        <v>0.17895651978544916</v>
      </c>
      <c r="I103" s="70">
        <f t="shared" ca="1" si="87"/>
        <v>0.16679073406864575</v>
      </c>
      <c r="J103" s="70">
        <f t="shared" ca="1" si="87"/>
        <v>0.15256438873448899</v>
      </c>
      <c r="K103" s="70">
        <f t="shared" ca="1" si="87"/>
        <v>0.14479493310893343</v>
      </c>
      <c r="L103" s="70">
        <f t="shared" ca="1" si="87"/>
        <v>0.13721663151159366</v>
      </c>
      <c r="M103" s="70">
        <f t="shared" ca="1" si="87"/>
        <v>0.12984907211431501</v>
      </c>
      <c r="N103" s="70">
        <f t="shared" ca="1" si="87"/>
        <v>0.12309233556826958</v>
      </c>
      <c r="V103" s="70">
        <f>+V98/V$41</f>
        <v>0.1458777435642207</v>
      </c>
      <c r="W103" s="70">
        <f t="shared" ref="W103:BA103" si="88">+W98/W$41</f>
        <v>0.14015415950616064</v>
      </c>
      <c r="X103" s="70">
        <f t="shared" si="88"/>
        <v>0.11469859208885573</v>
      </c>
      <c r="Y103" s="70">
        <f t="shared" si="88"/>
        <v>0.31420311265372786</v>
      </c>
      <c r="Z103" s="70">
        <f t="shared" si="88"/>
        <v>0.20026689315972582</v>
      </c>
      <c r="AA103" s="70">
        <f t="shared" si="88"/>
        <v>0.14594968246857967</v>
      </c>
      <c r="AB103" s="70">
        <f t="shared" si="88"/>
        <v>0.16475621578301863</v>
      </c>
      <c r="AC103" s="70">
        <f t="shared" si="88"/>
        <v>0.21816040832948172</v>
      </c>
      <c r="AD103" s="70">
        <f t="shared" ca="1" si="88"/>
        <v>0.18905336630267958</v>
      </c>
      <c r="AE103" s="70">
        <f t="shared" ca="1" si="88"/>
        <v>0.14343502350340384</v>
      </c>
      <c r="AF103" s="70">
        <f t="shared" ca="1" si="88"/>
        <v>0.14695184210795567</v>
      </c>
      <c r="AG103" s="70">
        <f t="shared" ca="1" si="88"/>
        <v>0.20342206798944368</v>
      </c>
      <c r="AH103" s="70">
        <f t="shared" ca="1" si="88"/>
        <v>0.17297284904428359</v>
      </c>
      <c r="AI103" s="70">
        <f t="shared" ca="1" si="88"/>
        <v>0.13123160004213813</v>
      </c>
      <c r="AJ103" s="70">
        <f t="shared" ca="1" si="88"/>
        <v>0.13442821208665356</v>
      </c>
      <c r="AK103" s="70">
        <f t="shared" ca="1" si="88"/>
        <v>0.18593742216292788</v>
      </c>
      <c r="AL103" s="70">
        <f t="shared" ca="1" si="88"/>
        <v>0.1649723671006261</v>
      </c>
      <c r="AM103" s="70">
        <f t="shared" ca="1" si="88"/>
        <v>0.12400603612290348</v>
      </c>
      <c r="AN103" s="70">
        <f t="shared" ca="1" si="88"/>
        <v>0.12705527500444488</v>
      </c>
      <c r="AO103" s="70">
        <f t="shared" ca="1" si="88"/>
        <v>0.1776533070783109</v>
      </c>
      <c r="AP103" s="70">
        <f t="shared" ca="1" si="88"/>
        <v>0.15709733474968726</v>
      </c>
      <c r="AQ103" s="70">
        <f t="shared" ca="1" si="88"/>
        <v>0.11701722525720579</v>
      </c>
      <c r="AR103" s="70">
        <f t="shared" ca="1" si="88"/>
        <v>0.11991828575164934</v>
      </c>
      <c r="AS103" s="70">
        <f t="shared" ca="1" si="88"/>
        <v>0.16947019315560871</v>
      </c>
      <c r="AT103" s="70">
        <f t="shared" ca="1" si="88"/>
        <v>0.14937216292677657</v>
      </c>
      <c r="AU103" s="70">
        <f t="shared" ca="1" si="88"/>
        <v>0.11027808256368309</v>
      </c>
      <c r="AV103" s="70">
        <f t="shared" ca="1" si="88"/>
        <v>0.11303133707181992</v>
      </c>
      <c r="AW103" s="70">
        <f t="shared" ca="1" si="88"/>
        <v>0.16141482073094918</v>
      </c>
      <c r="AX103" s="70">
        <f t="shared" ca="1" si="88"/>
        <v>0.14222005596168985</v>
      </c>
      <c r="AY103" s="70">
        <f t="shared" ca="1" si="88"/>
        <v>0.10414745597324905</v>
      </c>
      <c r="AZ103" s="70">
        <f t="shared" ca="1" si="88"/>
        <v>0.10676465196724674</v>
      </c>
      <c r="BA103" s="70">
        <f t="shared" ca="1" si="88"/>
        <v>0.1539312458131803</v>
      </c>
      <c r="BB103" s="88" t="s">
        <v>75</v>
      </c>
    </row>
    <row r="104" spans="1:54" x14ac:dyDescent="0.2">
      <c r="B104" s="33" t="s">
        <v>308</v>
      </c>
      <c r="C104" s="45" t="s">
        <v>177</v>
      </c>
      <c r="G104" s="70">
        <f t="shared" ref="G104:N104" si="89">+G101/G$59</f>
        <v>0.15806432279248478</v>
      </c>
      <c r="H104" s="70">
        <f t="shared" si="89"/>
        <v>0.20027255465163801</v>
      </c>
      <c r="I104" s="70">
        <f t="shared" ca="1" si="89"/>
        <v>0.19435858581565896</v>
      </c>
      <c r="J104" s="70">
        <f t="shared" ca="1" si="89"/>
        <v>0.16775963998980398</v>
      </c>
      <c r="K104" s="70">
        <f t="shared" ca="1" si="89"/>
        <v>0.16143451602768014</v>
      </c>
      <c r="L104" s="70">
        <f t="shared" ca="1" si="89"/>
        <v>0.14759408963165888</v>
      </c>
      <c r="M104" s="70">
        <f t="shared" ca="1" si="89"/>
        <v>0.13741034492184337</v>
      </c>
      <c r="N104" s="70">
        <f t="shared" ca="1" si="89"/>
        <v>0.1283450275984914</v>
      </c>
      <c r="V104" s="70">
        <f>+V101/V$59</f>
        <v>0.13744629776956616</v>
      </c>
      <c r="W104" s="70">
        <f t="shared" ref="W104:BA104" si="90">+W101/W$59</f>
        <v>7.754741494280927E-2</v>
      </c>
      <c r="X104" s="70">
        <f t="shared" si="90"/>
        <v>0.10850947871804535</v>
      </c>
      <c r="Y104" s="70">
        <f t="shared" si="90"/>
        <v>0.34015051924404616</v>
      </c>
      <c r="Z104" s="70">
        <f t="shared" si="90"/>
        <v>0.21937022494014077</v>
      </c>
      <c r="AA104" s="70">
        <f t="shared" si="90"/>
        <v>0.16350255504945616</v>
      </c>
      <c r="AB104" s="70">
        <f t="shared" si="90"/>
        <v>0.17783327589786083</v>
      </c>
      <c r="AC104" s="70">
        <f t="shared" si="90"/>
        <v>0.26582551424084355</v>
      </c>
      <c r="AD104" s="70">
        <f t="shared" ca="1" si="90"/>
        <v>0.22577095326920646</v>
      </c>
      <c r="AE104" s="70">
        <f t="shared" ca="1" si="90"/>
        <v>0.16950616142493743</v>
      </c>
      <c r="AF104" s="70">
        <f t="shared" ca="1" si="90"/>
        <v>0.14839894955845995</v>
      </c>
      <c r="AG104" s="70">
        <f t="shared" ca="1" si="90"/>
        <v>0.28765815782057541</v>
      </c>
      <c r="AH104" s="70">
        <f t="shared" ca="1" si="90"/>
        <v>0.19701823898637769</v>
      </c>
      <c r="AI104" s="70">
        <f t="shared" ca="1" si="90"/>
        <v>0.14457753534429565</v>
      </c>
      <c r="AJ104" s="70">
        <f t="shared" ca="1" si="90"/>
        <v>0.13054509143780096</v>
      </c>
      <c r="AK104" s="70">
        <f t="shared" ca="1" si="90"/>
        <v>0.24301723002388861</v>
      </c>
      <c r="AL104" s="70">
        <f t="shared" ca="1" si="90"/>
        <v>0.19384973460576485</v>
      </c>
      <c r="AM104" s="70">
        <f t="shared" ca="1" si="90"/>
        <v>0.13664324962325622</v>
      </c>
      <c r="AN104" s="70">
        <f t="shared" ca="1" si="90"/>
        <v>0.12466594967624382</v>
      </c>
      <c r="AO104" s="70">
        <f t="shared" ca="1" si="90"/>
        <v>0.23909161717811406</v>
      </c>
      <c r="AP104" s="70">
        <f t="shared" ca="1" si="90"/>
        <v>0.17792723475712321</v>
      </c>
      <c r="AQ104" s="70">
        <f t="shared" ca="1" si="90"/>
        <v>0.12500825729548345</v>
      </c>
      <c r="AR104" s="70">
        <f t="shared" ca="1" si="90"/>
        <v>0.11390029059372443</v>
      </c>
      <c r="AS104" s="70">
        <f t="shared" ca="1" si="90"/>
        <v>0.21759677235941199</v>
      </c>
      <c r="AT104" s="70">
        <f t="shared" ca="1" si="90"/>
        <v>0.16640821722430624</v>
      </c>
      <c r="AU104" s="70">
        <f t="shared" ca="1" si="90"/>
        <v>0.11616858537731317</v>
      </c>
      <c r="AV104" s="70">
        <f t="shared" ca="1" si="90"/>
        <v>0.10554823960253293</v>
      </c>
      <c r="AW104" s="70">
        <f t="shared" ca="1" si="90"/>
        <v>0.20395723691243495</v>
      </c>
      <c r="AX104" s="70">
        <f t="shared" ca="1" si="90"/>
        <v>0.15607689976534539</v>
      </c>
      <c r="AY104" s="70">
        <f t="shared" ca="1" si="90"/>
        <v>0.10833385462240593</v>
      </c>
      <c r="AZ104" s="70">
        <f t="shared" ca="1" si="90"/>
        <v>9.8160010777683382E-2</v>
      </c>
      <c r="BA104" s="70">
        <f t="shared" ca="1" si="90"/>
        <v>0.19168027173162841</v>
      </c>
      <c r="BB104" s="8" t="s">
        <v>75</v>
      </c>
    </row>
    <row r="105" spans="1:54" x14ac:dyDescent="0.2">
      <c r="B105" s="18"/>
      <c r="BB105" s="8" t="s">
        <v>75</v>
      </c>
    </row>
    <row r="106" spans="1:54" s="35" customFormat="1" x14ac:dyDescent="0.2">
      <c r="A106" s="1" t="s">
        <v>75</v>
      </c>
      <c r="B106" s="36" t="s">
        <v>225</v>
      </c>
      <c r="C106" s="36"/>
      <c r="D106" s="36"/>
      <c r="E106" s="36"/>
      <c r="F106" s="36"/>
      <c r="G106" s="37"/>
      <c r="H106" s="37"/>
      <c r="I106" s="37"/>
      <c r="J106" s="37"/>
      <c r="K106" s="37"/>
      <c r="L106" s="37"/>
      <c r="M106" s="37"/>
      <c r="N106" s="37"/>
      <c r="R106" s="36"/>
      <c r="S106" s="36"/>
      <c r="T106" s="36"/>
      <c r="U106" s="36"/>
      <c r="V106" s="44"/>
      <c r="W106" s="44"/>
      <c r="X106" s="44"/>
      <c r="Y106" s="44"/>
      <c r="Z106" s="44"/>
      <c r="AA106" s="44"/>
      <c r="AB106" s="44"/>
      <c r="AC106" s="44"/>
      <c r="AD106" s="44"/>
      <c r="AE106" s="44"/>
      <c r="AF106" s="44"/>
      <c r="AG106" s="44"/>
      <c r="AH106" s="44"/>
      <c r="AI106" s="44"/>
      <c r="AJ106" s="44"/>
      <c r="AK106" s="44"/>
      <c r="AL106" s="44"/>
      <c r="AM106" s="44"/>
      <c r="AN106" s="44"/>
      <c r="AO106" s="44"/>
      <c r="AP106" s="44"/>
      <c r="AQ106" s="44"/>
      <c r="AR106" s="44"/>
      <c r="AS106" s="44"/>
      <c r="AT106" s="44"/>
      <c r="AU106" s="44"/>
      <c r="AV106" s="44"/>
      <c r="AW106" s="44"/>
      <c r="AX106" s="44"/>
      <c r="AY106" s="44"/>
      <c r="AZ106" s="44"/>
      <c r="BA106" s="44"/>
      <c r="BB106" s="90" t="s">
        <v>75</v>
      </c>
    </row>
    <row r="107" spans="1:54" x14ac:dyDescent="0.2">
      <c r="B107" s="1" t="s">
        <v>133</v>
      </c>
      <c r="C107" s="45" t="s">
        <v>187</v>
      </c>
      <c r="G107" s="11">
        <f t="shared" ref="G107:N110" si="91">+SUMIFS(107:107,$6:$6,G$3)</f>
        <v>0</v>
      </c>
      <c r="H107" s="11">
        <f t="shared" si="91"/>
        <v>39.761127330000001</v>
      </c>
      <c r="I107" s="11">
        <f t="shared" ca="1" si="91"/>
        <v>60.653404662308745</v>
      </c>
      <c r="J107" s="11">
        <f t="shared" ca="1" si="91"/>
        <v>121.75185216168281</v>
      </c>
      <c r="K107" s="11">
        <f t="shared" ca="1" si="91"/>
        <v>128.8327078235327</v>
      </c>
      <c r="L107" s="11">
        <f t="shared" ca="1" si="91"/>
        <v>136.4078919997965</v>
      </c>
      <c r="M107" s="11">
        <f t="shared" ca="1" si="91"/>
        <v>144.51541490104518</v>
      </c>
      <c r="N107" s="11">
        <f t="shared" ca="1" si="91"/>
        <v>153.19633312235916</v>
      </c>
      <c r="P107" s="97">
        <f ca="1">+IFERROR((N107/I107)^(1/5)-1,"NM")</f>
        <v>0.20359018417045349</v>
      </c>
      <c r="V107" s="46">
        <f>+SUMIFS(Santos!22:22,Santos!$3:$3,Segments!V$3)</f>
        <v>0</v>
      </c>
      <c r="W107" s="46">
        <f>+SUMIFS(Santos!22:22,Santos!$3:$3,Segments!W$3)</f>
        <v>0</v>
      </c>
      <c r="X107" s="46">
        <f>+SUMIFS(Santos!22:22,Santos!$3:$3,Segments!X$3)</f>
        <v>0</v>
      </c>
      <c r="Y107" s="46">
        <f>+SUMIFS(Santos!22:22,Santos!$3:$3,Segments!Y$3)</f>
        <v>0</v>
      </c>
      <c r="Z107" s="46">
        <f>+SUMIFS(Santos!22:22,Santos!$3:$3,Segments!Z$3)</f>
        <v>0</v>
      </c>
      <c r="AA107" s="46">
        <f>+SUMIFS(Santos!22:22,Santos!$3:$3,Segments!AA$3)</f>
        <v>7.2582894000000007</v>
      </c>
      <c r="AB107" s="46">
        <f>+SUMIFS(Santos!22:22,Santos!$3:$3,Segments!AB$3)</f>
        <v>17.787665489999995</v>
      </c>
      <c r="AC107" s="46">
        <f>+SUMIFS(Santos!22:22,Santos!$3:$3,Segments!AC$3)</f>
        <v>14.715172440000003</v>
      </c>
      <c r="AD107" s="46">
        <f ca="1">+SUMIFS(Santos!22:22,Santos!$3:$3,Segments!AD$3)</f>
        <v>14.937786849700002</v>
      </c>
      <c r="AE107" s="46">
        <f ca="1">+SUMIFS(Santos!22:22,Santos!$3:$3,Segments!AE$3)</f>
        <v>15.087164718197002</v>
      </c>
      <c r="AF107" s="46">
        <f ca="1">+SUMIFS(Santos!22:22,Santos!$3:$3,Segments!AF$3)</f>
        <v>15.238036365378973</v>
      </c>
      <c r="AG107" s="46">
        <f ca="1">+SUMIFS(Santos!22:22,Santos!$3:$3,Segments!AG$3)</f>
        <v>15.390416729032763</v>
      </c>
      <c r="AH107" s="46">
        <f ca="1">+SUMIFS(Santos!22:22,Santos!$3:$3,Segments!AH$3)</f>
        <v>30.19385098354141</v>
      </c>
      <c r="AI107" s="46">
        <f ca="1">+SUMIFS(Santos!22:22,Santos!$3:$3,Segments!AI$3)</f>
        <v>30.355511920863172</v>
      </c>
      <c r="AJ107" s="46">
        <f ca="1">+SUMIFS(Santos!22:22,Santos!$3:$3,Segments!AJ$3)</f>
        <v>30.51878946755815</v>
      </c>
      <c r="AK107" s="46">
        <f ca="1">+SUMIFS(Santos!22:22,Santos!$3:$3,Segments!AK$3)</f>
        <v>30.68369978972008</v>
      </c>
      <c r="AL107" s="46">
        <f ca="1">+SUMIFS(Santos!22:22,Santos!$3:$3,Segments!AL$3)</f>
        <v>31.943992011194119</v>
      </c>
      <c r="AM107" s="46">
        <f ca="1">+SUMIFS(Santos!22:22,Santos!$3:$3,Segments!AM$3)</f>
        <v>32.118946031617</v>
      </c>
      <c r="AN107" s="46">
        <f ca="1">+SUMIFS(Santos!22:22,Santos!$3:$3,Segments!AN$3)</f>
        <v>32.295649592244104</v>
      </c>
      <c r="AO107" s="46">
        <f ca="1">+SUMIFS(Santos!22:22,Santos!$3:$3,Segments!AO$3)</f>
        <v>32.474120188477485</v>
      </c>
      <c r="AP107" s="46">
        <f ca="1">+SUMIFS(Santos!22:22,Santos!$3:$3,Segments!AP$3)</f>
        <v>33.816064610611058</v>
      </c>
      <c r="AQ107" s="46">
        <f ca="1">+SUMIFS(Santos!22:22,Santos!$3:$3,Segments!AQ$3)</f>
        <v>34.005404780037438</v>
      </c>
      <c r="AR107" s="46">
        <f ca="1">+SUMIFS(Santos!22:22,Santos!$3:$3,Segments!AR$3)</f>
        <v>34.196638351158072</v>
      </c>
      <c r="AS107" s="46">
        <f ca="1">+SUMIFS(Santos!22:22,Santos!$3:$3,Segments!AS$3)</f>
        <v>34.389784257989923</v>
      </c>
      <c r="AT107" s="46">
        <f ca="1">+SUMIFS(Santos!22:22,Santos!$3:$3,Segments!AT$3)</f>
        <v>35.819435612165954</v>
      </c>
      <c r="AU107" s="46">
        <f ca="1">+SUMIFS(Santos!22:22,Santos!$3:$3,Segments!AU$3)</f>
        <v>36.024344877307485</v>
      </c>
      <c r="AV107" s="46">
        <f ca="1">+SUMIFS(Santos!22:22,Santos!$3:$3,Segments!AV$3)</f>
        <v>36.231303235100427</v>
      </c>
      <c r="AW107" s="46">
        <f ca="1">+SUMIFS(Santos!22:22,Santos!$3:$3,Segments!AW$3)</f>
        <v>36.440331176471311</v>
      </c>
      <c r="AX107" s="46">
        <f ca="1">+SUMIFS(Santos!22:22,Santos!$3:$3,Segments!AX$3)</f>
        <v>37.964222282166006</v>
      </c>
      <c r="AY107" s="46">
        <f ca="1">+SUMIFS(Santos!22:22,Santos!$3:$3,Segments!AY$3)</f>
        <v>38.185980861278125</v>
      </c>
      <c r="AZ107" s="46">
        <f ca="1">+SUMIFS(Santos!22:22,Santos!$3:$3,Segments!AZ$3)</f>
        <v>38.409957026181381</v>
      </c>
      <c r="BA107" s="46">
        <f ca="1">+SUMIFS(Santos!22:22,Santos!$3:$3,Segments!BA$3)</f>
        <v>38.636172952733659</v>
      </c>
      <c r="BB107" s="8" t="s">
        <v>75</v>
      </c>
    </row>
    <row r="108" spans="1:54" s="2" customFormat="1" x14ac:dyDescent="0.2">
      <c r="B108" s="18" t="s">
        <v>307</v>
      </c>
      <c r="C108" s="45" t="s">
        <v>187</v>
      </c>
      <c r="G108" s="13">
        <f t="shared" si="91"/>
        <v>0</v>
      </c>
      <c r="H108" s="13">
        <f t="shared" si="91"/>
        <v>8.1120957300000036</v>
      </c>
      <c r="I108" s="13">
        <f t="shared" ca="1" si="91"/>
        <v>33.359372564269812</v>
      </c>
      <c r="J108" s="13">
        <f t="shared" ca="1" si="91"/>
        <v>67.876657580138172</v>
      </c>
      <c r="K108" s="13">
        <f t="shared" ca="1" si="91"/>
        <v>72.790479920295979</v>
      </c>
      <c r="L108" s="13">
        <f t="shared" ca="1" si="91"/>
        <v>78.093518169883481</v>
      </c>
      <c r="M108" s="13">
        <f t="shared" ca="1" si="91"/>
        <v>83.818940642606179</v>
      </c>
      <c r="N108" s="13">
        <f t="shared" ca="1" si="91"/>
        <v>90.002845709385994</v>
      </c>
      <c r="P108" s="131">
        <f ca="1">+IFERROR((N108/I108)^(1/5)-1,"NM")</f>
        <v>0.2195726419653814</v>
      </c>
      <c r="V108" s="148">
        <f>+SUMIFS(Santos!30:30,Santos!$3:$3,Segments!V$3)</f>
        <v>0</v>
      </c>
      <c r="W108" s="148">
        <f>+SUMIFS(Santos!30:30,Santos!$3:$3,Segments!W$3)</f>
        <v>0</v>
      </c>
      <c r="X108" s="148">
        <f>+SUMIFS(Santos!30:30,Santos!$3:$3,Segments!X$3)</f>
        <v>0</v>
      </c>
      <c r="Y108" s="148">
        <f>+SUMIFS(Santos!30:30,Santos!$3:$3,Segments!Y$3)</f>
        <v>0</v>
      </c>
      <c r="Z108" s="148">
        <f>+SUMIFS(Santos!30:30,Santos!$3:$3,Segments!Z$3)</f>
        <v>-1.4458412899999999</v>
      </c>
      <c r="AA108" s="148">
        <f>+SUMIFS(Santos!30:30,Santos!$3:$3,Segments!AA$3)</f>
        <v>-3.513600900000001</v>
      </c>
      <c r="AB108" s="148">
        <f>+SUMIFS(Santos!30:30,Santos!$3:$3,Segments!AB$3)</f>
        <v>3.9258025399999976</v>
      </c>
      <c r="AC108" s="148">
        <f>+SUMIFS(Santos!30:30,Santos!$3:$3,Segments!AC$3)</f>
        <v>9.1457353800000067</v>
      </c>
      <c r="AD108" s="148">
        <f ca="1">+SUMIFS(Santos!30:30,Santos!$3:$3,Segments!AD$3)</f>
        <v>8.2157827673350017</v>
      </c>
      <c r="AE108" s="148">
        <f ca="1">+SUMIFS(Santos!30:30,Santos!$3:$3,Segments!AE$3)</f>
        <v>8.2979405950083525</v>
      </c>
      <c r="AF108" s="148">
        <f ca="1">+SUMIFS(Santos!30:30,Santos!$3:$3,Segments!AF$3)</f>
        <v>8.3809200009584348</v>
      </c>
      <c r="AG108" s="148">
        <f ca="1">+SUMIFS(Santos!30:30,Santos!$3:$3,Segments!AG$3)</f>
        <v>8.4647292009680211</v>
      </c>
      <c r="AH108" s="148">
        <f ca="1">+SUMIFS(Santos!30:30,Santos!$3:$3,Segments!AH$3)</f>
        <v>16.833071923324336</v>
      </c>
      <c r="AI108" s="148">
        <f ca="1">+SUMIFS(Santos!30:30,Santos!$3:$3,Segments!AI$3)</f>
        <v>16.92319789588122</v>
      </c>
      <c r="AJ108" s="148">
        <f ca="1">+SUMIFS(Santos!30:30,Santos!$3:$3,Segments!AJ$3)</f>
        <v>17.01422512816367</v>
      </c>
      <c r="AK108" s="148">
        <f ca="1">+SUMIFS(Santos!30:30,Santos!$3:$3,Segments!AK$3)</f>
        <v>17.106162632768946</v>
      </c>
      <c r="AL108" s="148">
        <f ca="1">+SUMIFS(Santos!30:30,Santos!$3:$3,Segments!AL$3)</f>
        <v>18.048355486324677</v>
      </c>
      <c r="AM108" s="148">
        <f ca="1">+SUMIFS(Santos!30:30,Santos!$3:$3,Segments!AM$3)</f>
        <v>18.147204507863602</v>
      </c>
      <c r="AN108" s="148">
        <f ca="1">+SUMIFS(Santos!30:30,Santos!$3:$3,Segments!AN$3)</f>
        <v>18.247042019617918</v>
      </c>
      <c r="AO108" s="148">
        <f ca="1">+SUMIFS(Santos!30:30,Santos!$3:$3,Segments!AO$3)</f>
        <v>18.347877906489778</v>
      </c>
      <c r="AP108" s="148">
        <f ca="1">+SUMIFS(Santos!30:30,Santos!$3:$3,Segments!AP$3)</f>
        <v>19.359696989574829</v>
      </c>
      <c r="AQ108" s="148">
        <f ca="1">+SUMIFS(Santos!30:30,Santos!$3:$3,Segments!AQ$3)</f>
        <v>19.468094236571428</v>
      </c>
      <c r="AR108" s="148">
        <f ca="1">+SUMIFS(Santos!30:30,Santos!$3:$3,Segments!AR$3)</f>
        <v>19.577575456037991</v>
      </c>
      <c r="AS108" s="148">
        <f ca="1">+SUMIFS(Santos!30:30,Santos!$3:$3,Segments!AS$3)</f>
        <v>19.688151487699226</v>
      </c>
      <c r="AT108" s="148">
        <f ca="1">+SUMIFS(Santos!30:30,Santos!$3:$3,Segments!AT$3)</f>
        <v>20.775272655056249</v>
      </c>
      <c r="AU108" s="148">
        <f ca="1">+SUMIFS(Santos!30:30,Santos!$3:$3,Segments!AU$3)</f>
        <v>20.894120028838337</v>
      </c>
      <c r="AV108" s="148">
        <f ca="1">+SUMIFS(Santos!30:30,Santos!$3:$3,Segments!AV$3)</f>
        <v>21.014155876358242</v>
      </c>
      <c r="AW108" s="148">
        <f ca="1">+SUMIFS(Santos!30:30,Santos!$3:$3,Segments!AW$3)</f>
        <v>21.135392082353356</v>
      </c>
      <c r="AX108" s="148">
        <f ca="1">+SUMIFS(Santos!30:30,Santos!$3:$3,Segments!AX$3)</f>
        <v>22.303980590772522</v>
      </c>
      <c r="AY108" s="148">
        <f ca="1">+SUMIFS(Santos!30:30,Santos!$3:$3,Segments!AY$3)</f>
        <v>22.434263756000892</v>
      </c>
      <c r="AZ108" s="148">
        <f ca="1">+SUMIFS(Santos!30:30,Santos!$3:$3,Segments!AZ$3)</f>
        <v>22.565849752881554</v>
      </c>
      <c r="BA108" s="148">
        <f ca="1">+SUMIFS(Santos!30:30,Santos!$3:$3,Segments!BA$3)</f>
        <v>22.698751609731016</v>
      </c>
      <c r="BB108" s="83" t="s">
        <v>75</v>
      </c>
    </row>
    <row r="109" spans="1:54" x14ac:dyDescent="0.2">
      <c r="B109" s="1" t="s">
        <v>304</v>
      </c>
      <c r="C109" s="45" t="s">
        <v>187</v>
      </c>
      <c r="G109" s="11">
        <f t="shared" si="91"/>
        <v>0</v>
      </c>
      <c r="H109" s="11">
        <f t="shared" si="91"/>
        <v>-1.9756789240967985</v>
      </c>
      <c r="I109" s="11">
        <f t="shared" ca="1" si="91"/>
        <v>-2.9301559730720159</v>
      </c>
      <c r="J109" s="11">
        <f t="shared" ca="1" si="91"/>
        <v>-5.4310625627486369</v>
      </c>
      <c r="K109" s="11">
        <f t="shared" ca="1" si="91"/>
        <v>-5.5158428593131612</v>
      </c>
      <c r="L109" s="11">
        <f t="shared" ca="1" si="91"/>
        <v>-5.5971148227565575</v>
      </c>
      <c r="M109" s="11">
        <f t="shared" ca="1" si="91"/>
        <v>-5.6749569413126526</v>
      </c>
      <c r="N109" s="11">
        <f t="shared" ca="1" si="91"/>
        <v>-5.7668623725336925</v>
      </c>
      <c r="P109" s="97">
        <f ca="1">+IFERROR((N109/I109)^(1/5)-1,"NM")</f>
        <v>0.14501129202731766</v>
      </c>
      <c r="V109" s="23">
        <f t="shared" ref="V109:BA109" si="92">+V112*V$125</f>
        <v>0</v>
      </c>
      <c r="W109" s="23">
        <f t="shared" si="92"/>
        <v>0</v>
      </c>
      <c r="X109" s="23">
        <f t="shared" si="92"/>
        <v>0</v>
      </c>
      <c r="Y109" s="23">
        <f t="shared" si="92"/>
        <v>0</v>
      </c>
      <c r="Z109" s="23">
        <f t="shared" si="92"/>
        <v>0</v>
      </c>
      <c r="AA109" s="23">
        <f t="shared" si="92"/>
        <v>-0.29266234977272038</v>
      </c>
      <c r="AB109" s="23">
        <f t="shared" si="92"/>
        <v>-0.78510459889973927</v>
      </c>
      <c r="AC109" s="23">
        <f t="shared" si="92"/>
        <v>-0.89791197542433887</v>
      </c>
      <c r="AD109" s="23">
        <f t="shared" ca="1" si="92"/>
        <v>-0.79888152158779568</v>
      </c>
      <c r="AE109" s="23">
        <f t="shared" ca="1" si="92"/>
        <v>-0.61217352532269587</v>
      </c>
      <c r="AF109" s="23">
        <f t="shared" ca="1" si="92"/>
        <v>-0.63345496301392623</v>
      </c>
      <c r="AG109" s="23">
        <f t="shared" ca="1" si="92"/>
        <v>-0.88564596314759791</v>
      </c>
      <c r="AH109" s="23">
        <f t="shared" ca="1" si="92"/>
        <v>-1.4917782250083735</v>
      </c>
      <c r="AI109" s="23">
        <f t="shared" ca="1" si="92"/>
        <v>-1.1378468270822264</v>
      </c>
      <c r="AJ109" s="23">
        <f t="shared" ca="1" si="92"/>
        <v>-1.1718325123294642</v>
      </c>
      <c r="AK109" s="23">
        <f t="shared" ca="1" si="92"/>
        <v>-1.6296049983285721</v>
      </c>
      <c r="AL109" s="23">
        <f t="shared" ca="1" si="92"/>
        <v>-1.5198625942415873</v>
      </c>
      <c r="AM109" s="23">
        <f t="shared" ca="1" si="92"/>
        <v>-1.1487037614884044</v>
      </c>
      <c r="AN109" s="23">
        <f t="shared" ca="1" si="92"/>
        <v>-1.1834247749656814</v>
      </c>
      <c r="AO109" s="23">
        <f t="shared" ca="1" si="92"/>
        <v>-1.6638517286174883</v>
      </c>
      <c r="AP109" s="23">
        <f t="shared" ca="1" si="92"/>
        <v>-1.5470057515370792</v>
      </c>
      <c r="AQ109" s="23">
        <f t="shared" ca="1" si="92"/>
        <v>-1.158771462928561</v>
      </c>
      <c r="AR109" s="23">
        <f t="shared" ca="1" si="92"/>
        <v>-1.194177471351755</v>
      </c>
      <c r="AS109" s="23">
        <f t="shared" ca="1" si="92"/>
        <v>-1.697160136939162</v>
      </c>
      <c r="AT109" s="23">
        <f t="shared" ca="1" si="92"/>
        <v>-1.5732022888465196</v>
      </c>
      <c r="AU109" s="23">
        <f t="shared" ca="1" si="92"/>
        <v>-1.1681038605520517</v>
      </c>
      <c r="AV109" s="23">
        <f t="shared" ca="1" si="92"/>
        <v>-1.2041455418839788</v>
      </c>
      <c r="AW109" s="23">
        <f t="shared" ca="1" si="92"/>
        <v>-1.7295052500301022</v>
      </c>
      <c r="AX109" s="23">
        <f t="shared" ca="1" si="92"/>
        <v>-1.6029782461457536</v>
      </c>
      <c r="AY109" s="23">
        <f t="shared" ca="1" si="92"/>
        <v>-1.1807144879357729</v>
      </c>
      <c r="AZ109" s="23">
        <f t="shared" ca="1" si="92"/>
        <v>-1.2174849064629285</v>
      </c>
      <c r="BA109" s="23">
        <f t="shared" ca="1" si="92"/>
        <v>-1.7656847319892377</v>
      </c>
      <c r="BB109" s="8" t="s">
        <v>75</v>
      </c>
    </row>
    <row r="110" spans="1:54" x14ac:dyDescent="0.2">
      <c r="B110" s="18" t="s">
        <v>306</v>
      </c>
      <c r="C110" s="45" t="s">
        <v>187</v>
      </c>
      <c r="G110" s="13">
        <f t="shared" si="91"/>
        <v>0</v>
      </c>
      <c r="H110" s="13">
        <f t="shared" si="91"/>
        <v>6.1364168059032043</v>
      </c>
      <c r="I110" s="13">
        <f t="shared" ca="1" si="91"/>
        <v>30.429216591197793</v>
      </c>
      <c r="J110" s="13">
        <f t="shared" ca="1" si="91"/>
        <v>62.445595017389536</v>
      </c>
      <c r="K110" s="13">
        <f t="shared" ca="1" si="91"/>
        <v>67.274637060982812</v>
      </c>
      <c r="L110" s="13">
        <f t="shared" ca="1" si="91"/>
        <v>72.496403347126929</v>
      </c>
      <c r="M110" s="13">
        <f t="shared" ca="1" si="91"/>
        <v>78.143983701293536</v>
      </c>
      <c r="N110" s="13">
        <f t="shared" ca="1" si="91"/>
        <v>84.235983336852286</v>
      </c>
      <c r="P110" s="131">
        <f ca="1">+IFERROR((N110/I110)^(1/5)-1,"NM")</f>
        <v>0.22586141563799655</v>
      </c>
      <c r="V110" s="24">
        <f t="shared" ref="V110:BA110" si="93">+V108+V109</f>
        <v>0</v>
      </c>
      <c r="W110" s="24">
        <f t="shared" si="93"/>
        <v>0</v>
      </c>
      <c r="X110" s="24">
        <f t="shared" si="93"/>
        <v>0</v>
      </c>
      <c r="Y110" s="24">
        <f t="shared" si="93"/>
        <v>0</v>
      </c>
      <c r="Z110" s="24">
        <f t="shared" si="93"/>
        <v>-1.4458412899999999</v>
      </c>
      <c r="AA110" s="24">
        <f t="shared" si="93"/>
        <v>-3.8062632497727216</v>
      </c>
      <c r="AB110" s="24">
        <f t="shared" si="93"/>
        <v>3.1406979411002585</v>
      </c>
      <c r="AC110" s="24">
        <f t="shared" si="93"/>
        <v>8.2478234045756675</v>
      </c>
      <c r="AD110" s="24">
        <f t="shared" ca="1" si="93"/>
        <v>7.4169012457472059</v>
      </c>
      <c r="AE110" s="24">
        <f t="shared" ca="1" si="93"/>
        <v>7.6857670696856566</v>
      </c>
      <c r="AF110" s="24">
        <f t="shared" ca="1" si="93"/>
        <v>7.7474650379445089</v>
      </c>
      <c r="AG110" s="24">
        <f t="shared" ca="1" si="93"/>
        <v>7.5790832378204236</v>
      </c>
      <c r="AH110" s="24">
        <f t="shared" ca="1" si="93"/>
        <v>15.341293698315964</v>
      </c>
      <c r="AI110" s="24">
        <f t="shared" ca="1" si="93"/>
        <v>15.785351068798994</v>
      </c>
      <c r="AJ110" s="24">
        <f t="shared" ca="1" si="93"/>
        <v>15.842392615834205</v>
      </c>
      <c r="AK110" s="24">
        <f t="shared" ca="1" si="93"/>
        <v>15.476557634440374</v>
      </c>
      <c r="AL110" s="24">
        <f t="shared" ca="1" si="93"/>
        <v>16.52849289208309</v>
      </c>
      <c r="AM110" s="24">
        <f t="shared" ca="1" si="93"/>
        <v>16.998500746375196</v>
      </c>
      <c r="AN110" s="24">
        <f t="shared" ca="1" si="93"/>
        <v>17.063617244652235</v>
      </c>
      <c r="AO110" s="24">
        <f t="shared" ca="1" si="93"/>
        <v>16.68402617787229</v>
      </c>
      <c r="AP110" s="24">
        <f t="shared" ca="1" si="93"/>
        <v>17.81269123803775</v>
      </c>
      <c r="AQ110" s="24">
        <f t="shared" ca="1" si="93"/>
        <v>18.309322773642869</v>
      </c>
      <c r="AR110" s="24">
        <f t="shared" ca="1" si="93"/>
        <v>18.383397984686237</v>
      </c>
      <c r="AS110" s="24">
        <f t="shared" ca="1" si="93"/>
        <v>17.990991350760066</v>
      </c>
      <c r="AT110" s="24">
        <f t="shared" ca="1" si="93"/>
        <v>19.202070366209728</v>
      </c>
      <c r="AU110" s="24">
        <f t="shared" ca="1" si="93"/>
        <v>19.726016168286286</v>
      </c>
      <c r="AV110" s="24">
        <f t="shared" ca="1" si="93"/>
        <v>19.810010334474264</v>
      </c>
      <c r="AW110" s="24">
        <f t="shared" ca="1" si="93"/>
        <v>19.405886832323255</v>
      </c>
      <c r="AX110" s="24">
        <f t="shared" ca="1" si="93"/>
        <v>20.701002344626769</v>
      </c>
      <c r="AY110" s="24">
        <f t="shared" ca="1" si="93"/>
        <v>21.253549268065118</v>
      </c>
      <c r="AZ110" s="24">
        <f t="shared" ca="1" si="93"/>
        <v>21.348364846418626</v>
      </c>
      <c r="BA110" s="24">
        <f t="shared" ca="1" si="93"/>
        <v>20.933066877741776</v>
      </c>
      <c r="BB110" s="8" t="s">
        <v>75</v>
      </c>
    </row>
    <row r="111" spans="1:54" x14ac:dyDescent="0.2">
      <c r="BB111" s="8" t="s">
        <v>75</v>
      </c>
    </row>
    <row r="112" spans="1:54" s="25" customFormat="1" x14ac:dyDescent="0.2">
      <c r="B112" s="33" t="s">
        <v>305</v>
      </c>
      <c r="C112" s="45" t="s">
        <v>177</v>
      </c>
      <c r="G112" s="70">
        <f t="shared" ref="G112:N112" si="94">+G107/G$41</f>
        <v>0</v>
      </c>
      <c r="H112" s="70">
        <f t="shared" si="94"/>
        <v>3.1851690216607428E-2</v>
      </c>
      <c r="I112" s="70">
        <f t="shared" ca="1" si="94"/>
        <v>4.088281269421238E-2</v>
      </c>
      <c r="J112" s="70">
        <f t="shared" ca="1" si="94"/>
        <v>7.2879467070772516E-2</v>
      </c>
      <c r="K112" s="70">
        <f t="shared" ca="1" si="94"/>
        <v>7.1058938087874363E-2</v>
      </c>
      <c r="L112" s="70">
        <f t="shared" ca="1" si="94"/>
        <v>6.9222653034686998E-2</v>
      </c>
      <c r="M112" s="70">
        <f t="shared" ca="1" si="94"/>
        <v>6.7377949294954012E-2</v>
      </c>
      <c r="N112" s="70">
        <f t="shared" ca="1" si="94"/>
        <v>6.5736552138306703E-2</v>
      </c>
      <c r="V112" s="70">
        <f>+V107/V$41</f>
        <v>0</v>
      </c>
      <c r="W112" s="70">
        <f t="shared" ref="W112:BA112" si="95">+W107/W$41</f>
        <v>0</v>
      </c>
      <c r="X112" s="70">
        <f t="shared" si="95"/>
        <v>0</v>
      </c>
      <c r="Y112" s="70">
        <f t="shared" si="95"/>
        <v>0</v>
      </c>
      <c r="Z112" s="70">
        <f t="shared" si="95"/>
        <v>0</v>
      </c>
      <c r="AA112" s="70">
        <f t="shared" si="95"/>
        <v>2.0796174603083976E-2</v>
      </c>
      <c r="AB112" s="70">
        <f t="shared" si="95"/>
        <v>4.8765961158220739E-2</v>
      </c>
      <c r="AC112" s="70">
        <f t="shared" si="95"/>
        <v>4.9602193501964896E-2</v>
      </c>
      <c r="AD112" s="70">
        <f t="shared" ca="1" si="95"/>
        <v>4.5650372662159752E-2</v>
      </c>
      <c r="AE112" s="70">
        <f t="shared" ca="1" si="95"/>
        <v>3.4981344304154047E-2</v>
      </c>
      <c r="AF112" s="70">
        <f t="shared" ca="1" si="95"/>
        <v>3.6197426457938643E-2</v>
      </c>
      <c r="AG112" s="70">
        <f t="shared" ca="1" si="95"/>
        <v>5.0608340751291309E-2</v>
      </c>
      <c r="AH112" s="70">
        <f t="shared" ca="1" si="95"/>
        <v>8.196583653892163E-2</v>
      </c>
      <c r="AI112" s="70">
        <f t="shared" ca="1" si="95"/>
        <v>6.2519056433089359E-2</v>
      </c>
      <c r="AJ112" s="70">
        <f t="shared" ca="1" si="95"/>
        <v>6.4386401776344193E-2</v>
      </c>
      <c r="AK112" s="70">
        <f t="shared" ca="1" si="95"/>
        <v>8.9538736171899572E-2</v>
      </c>
      <c r="AL112" s="70">
        <f t="shared" ca="1" si="95"/>
        <v>8.029705168224785E-2</v>
      </c>
      <c r="AM112" s="70">
        <f t="shared" ca="1" si="95"/>
        <v>6.06880685486266E-2</v>
      </c>
      <c r="AN112" s="70">
        <f t="shared" ca="1" si="95"/>
        <v>6.2522441619066005E-2</v>
      </c>
      <c r="AO112" s="70">
        <f t="shared" ca="1" si="95"/>
        <v>8.7904254470492826E-2</v>
      </c>
      <c r="AP112" s="70">
        <f t="shared" ca="1" si="95"/>
        <v>7.8587570283395733E-2</v>
      </c>
      <c r="AQ112" s="70">
        <f t="shared" ca="1" si="95"/>
        <v>5.886534920430056E-2</v>
      </c>
      <c r="AR112" s="70">
        <f t="shared" ca="1" si="95"/>
        <v>6.0663967065060047E-2</v>
      </c>
      <c r="AS112" s="70">
        <f t="shared" ca="1" si="95"/>
        <v>8.62153818183055E-2</v>
      </c>
      <c r="AT112" s="70">
        <f t="shared" ca="1" si="95"/>
        <v>7.6844566276774981E-2</v>
      </c>
      <c r="AU112" s="70">
        <f t="shared" ca="1" si="95"/>
        <v>5.7057147174736929E-2</v>
      </c>
      <c r="AV112" s="70">
        <f t="shared" ca="1" si="95"/>
        <v>5.8817637474982018E-2</v>
      </c>
      <c r="AW112" s="70">
        <f t="shared" ca="1" si="95"/>
        <v>8.4479333493351155E-2</v>
      </c>
      <c r="AX112" s="70">
        <f t="shared" ca="1" si="95"/>
        <v>7.5287501260157666E-2</v>
      </c>
      <c r="AY112" s="70">
        <f t="shared" ca="1" si="95"/>
        <v>5.5454928170165674E-2</v>
      </c>
      <c r="AZ112" s="70">
        <f t="shared" ca="1" si="95"/>
        <v>5.718193409670027E-2</v>
      </c>
      <c r="BA112" s="70">
        <f t="shared" ca="1" si="95"/>
        <v>8.2929379612175738E-2</v>
      </c>
      <c r="BB112" s="88" t="s">
        <v>75</v>
      </c>
    </row>
    <row r="113" spans="1:54" x14ac:dyDescent="0.2">
      <c r="B113" s="33" t="s">
        <v>308</v>
      </c>
      <c r="C113" s="45" t="s">
        <v>177</v>
      </c>
      <c r="G113" s="70">
        <f t="shared" ref="G113:N113" si="96">+G110/G$59</f>
        <v>0</v>
      </c>
      <c r="H113" s="70">
        <f t="shared" si="96"/>
        <v>9.6272106634520474E-3</v>
      </c>
      <c r="I113" s="70">
        <f t="shared" ca="1" si="96"/>
        <v>3.8863501081893327E-2</v>
      </c>
      <c r="J113" s="70">
        <f t="shared" ca="1" si="96"/>
        <v>6.7216710038622104E-2</v>
      </c>
      <c r="K113" s="70">
        <f t="shared" ca="1" si="96"/>
        <v>6.7842909080089817E-2</v>
      </c>
      <c r="L113" s="70">
        <f t="shared" ca="1" si="96"/>
        <v>6.5080067270357533E-2</v>
      </c>
      <c r="M113" s="70">
        <f t="shared" ca="1" si="96"/>
        <v>6.3595421068002228E-2</v>
      </c>
      <c r="N113" s="70">
        <f t="shared" ca="1" si="96"/>
        <v>6.2368437545790779E-2</v>
      </c>
      <c r="V113" s="70">
        <f>+V110/V$59</f>
        <v>0</v>
      </c>
      <c r="W113" s="70">
        <f t="shared" ref="W113:BA113" si="97">+W110/W$59</f>
        <v>0</v>
      </c>
      <c r="X113" s="70">
        <f t="shared" si="97"/>
        <v>0</v>
      </c>
      <c r="Y113" s="70">
        <f t="shared" si="97"/>
        <v>0</v>
      </c>
      <c r="Z113" s="70">
        <f t="shared" si="97"/>
        <v>-1.3856425151252792E-2</v>
      </c>
      <c r="AA113" s="70">
        <f t="shared" si="97"/>
        <v>-2.0325375643723425E-2</v>
      </c>
      <c r="AB113" s="70">
        <f t="shared" si="97"/>
        <v>1.5547812065528183E-2</v>
      </c>
      <c r="AC113" s="70">
        <f t="shared" si="97"/>
        <v>5.7360280279277281E-2</v>
      </c>
      <c r="AD113" s="70">
        <f t="shared" ca="1" si="97"/>
        <v>4.5892435205577488E-2</v>
      </c>
      <c r="AE113" s="70">
        <f t="shared" ca="1" si="97"/>
        <v>3.1176747374494811E-2</v>
      </c>
      <c r="AF113" s="70">
        <f t="shared" ca="1" si="97"/>
        <v>3.1805131335814522E-2</v>
      </c>
      <c r="AG113" s="70">
        <f t="shared" ca="1" si="97"/>
        <v>5.7746391969276618E-2</v>
      </c>
      <c r="AH113" s="70">
        <f t="shared" ca="1" si="97"/>
        <v>8.2471548228109842E-2</v>
      </c>
      <c r="AI113" s="70">
        <f t="shared" ca="1" si="97"/>
        <v>5.3007872638364831E-2</v>
      </c>
      <c r="AJ113" s="70">
        <f t="shared" ca="1" si="97"/>
        <v>5.5604936065546007E-2</v>
      </c>
      <c r="AK113" s="70">
        <f t="shared" ca="1" si="97"/>
        <v>9.6549094817836925E-2</v>
      </c>
      <c r="AL113" s="70">
        <f t="shared" ca="1" si="97"/>
        <v>8.5171750880526712E-2</v>
      </c>
      <c r="AM113" s="70">
        <f t="shared" ca="1" si="97"/>
        <v>5.2470174571531886E-2</v>
      </c>
      <c r="AN113" s="70">
        <f t="shared" ca="1" si="97"/>
        <v>5.5726835875715607E-2</v>
      </c>
      <c r="AO113" s="70">
        <f t="shared" ca="1" si="97"/>
        <v>9.9667486752310172E-2</v>
      </c>
      <c r="AP113" s="70">
        <f t="shared" ca="1" si="97"/>
        <v>8.208471253197723E-2</v>
      </c>
      <c r="AQ113" s="70">
        <f t="shared" ca="1" si="97"/>
        <v>5.0291447238009226E-2</v>
      </c>
      <c r="AR113" s="70">
        <f t="shared" ca="1" si="97"/>
        <v>5.3452427410845008E-2</v>
      </c>
      <c r="AS113" s="70">
        <f t="shared" ca="1" si="97"/>
        <v>9.5206414741817166E-2</v>
      </c>
      <c r="AT113" s="70">
        <f t="shared" ca="1" si="97"/>
        <v>8.0638902661782377E-2</v>
      </c>
      <c r="AU113" s="70">
        <f t="shared" ca="1" si="97"/>
        <v>4.8980762501253369E-2</v>
      </c>
      <c r="AV113" s="70">
        <f t="shared" ca="1" si="97"/>
        <v>5.2021991386523789E-2</v>
      </c>
      <c r="AW113" s="70">
        <f t="shared" ca="1" si="97"/>
        <v>9.3697214956861341E-2</v>
      </c>
      <c r="AX113" s="70">
        <f t="shared" ca="1" si="97"/>
        <v>7.947288788818839E-2</v>
      </c>
      <c r="AY113" s="70">
        <f t="shared" ca="1" si="97"/>
        <v>4.7887567948016546E-2</v>
      </c>
      <c r="AZ113" s="70">
        <f t="shared" ca="1" si="97"/>
        <v>5.083154200772743E-2</v>
      </c>
      <c r="BA113" s="70">
        <f t="shared" ca="1" si="97"/>
        <v>9.248689252441987E-2</v>
      </c>
      <c r="BB113" s="8" t="s">
        <v>75</v>
      </c>
    </row>
    <row r="114" spans="1:54" x14ac:dyDescent="0.2">
      <c r="B114" s="18"/>
      <c r="BB114" s="8" t="s">
        <v>75</v>
      </c>
    </row>
    <row r="115" spans="1:54" s="35" customFormat="1" x14ac:dyDescent="0.2">
      <c r="A115" s="1" t="s">
        <v>75</v>
      </c>
      <c r="B115" s="36" t="s">
        <v>146</v>
      </c>
      <c r="C115" s="36"/>
      <c r="D115" s="36"/>
      <c r="E115" s="36"/>
      <c r="F115" s="36"/>
      <c r="G115" s="37"/>
      <c r="H115" s="37"/>
      <c r="I115" s="37"/>
      <c r="J115" s="37"/>
      <c r="K115" s="37"/>
      <c r="L115" s="37"/>
      <c r="M115" s="37"/>
      <c r="N115" s="37"/>
      <c r="R115" s="36"/>
      <c r="S115" s="36"/>
      <c r="T115" s="36"/>
      <c r="U115" s="36"/>
      <c r="V115" s="38"/>
      <c r="W115" s="38"/>
      <c r="X115" s="38"/>
      <c r="Y115" s="38"/>
      <c r="Z115" s="38"/>
      <c r="AA115" s="38"/>
      <c r="AB115" s="38"/>
      <c r="AC115" s="38"/>
      <c r="BB115" s="90" t="s">
        <v>75</v>
      </c>
    </row>
    <row r="116" spans="1:54" s="2" customFormat="1" x14ac:dyDescent="0.2">
      <c r="B116" s="2" t="s">
        <v>132</v>
      </c>
      <c r="C116" s="45" t="s">
        <v>187</v>
      </c>
      <c r="G116" s="13">
        <f t="shared" ref="G116:N122" si="98">+SUMIFS(116:116,$6:$6,G$3)</f>
        <v>0</v>
      </c>
      <c r="H116" s="13">
        <f t="shared" si="98"/>
        <v>0</v>
      </c>
      <c r="I116" s="13">
        <f t="shared" si="98"/>
        <v>0</v>
      </c>
      <c r="J116" s="13">
        <f t="shared" si="98"/>
        <v>0</v>
      </c>
      <c r="K116" s="13">
        <f t="shared" si="98"/>
        <v>0</v>
      </c>
      <c r="L116" s="13">
        <f t="shared" si="98"/>
        <v>0</v>
      </c>
      <c r="M116" s="13">
        <f t="shared" si="98"/>
        <v>0</v>
      </c>
      <c r="N116" s="13">
        <f t="shared" si="98"/>
        <v>0</v>
      </c>
      <c r="O116" s="40"/>
      <c r="P116" s="40"/>
      <c r="Q116" s="40"/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BB116" s="83" t="s">
        <v>75</v>
      </c>
    </row>
    <row r="117" spans="1:54" s="2" customFormat="1" x14ac:dyDescent="0.2">
      <c r="B117" s="2" t="s">
        <v>136</v>
      </c>
      <c r="C117" s="45" t="s">
        <v>187</v>
      </c>
      <c r="G117" s="13">
        <f t="shared" si="98"/>
        <v>0</v>
      </c>
      <c r="H117" s="13">
        <f t="shared" si="98"/>
        <v>0</v>
      </c>
      <c r="I117" s="13">
        <f t="shared" si="98"/>
        <v>0</v>
      </c>
      <c r="J117" s="13">
        <f t="shared" si="98"/>
        <v>0</v>
      </c>
      <c r="K117" s="13">
        <f t="shared" si="98"/>
        <v>0</v>
      </c>
      <c r="L117" s="13">
        <f t="shared" si="98"/>
        <v>0</v>
      </c>
      <c r="M117" s="13">
        <f t="shared" si="98"/>
        <v>0</v>
      </c>
      <c r="N117" s="13">
        <f t="shared" si="98"/>
        <v>0</v>
      </c>
      <c r="O117" s="40"/>
      <c r="P117" s="40"/>
      <c r="Q117" s="40"/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BB117" s="83" t="s">
        <v>75</v>
      </c>
    </row>
    <row r="118" spans="1:54" x14ac:dyDescent="0.2">
      <c r="B118" s="1" t="s">
        <v>137</v>
      </c>
      <c r="C118" s="45" t="s">
        <v>187</v>
      </c>
      <c r="G118" s="11">
        <f t="shared" si="98"/>
        <v>-68.487085050000005</v>
      </c>
      <c r="H118" s="11">
        <f t="shared" si="98"/>
        <v>-102.26020921923086</v>
      </c>
      <c r="I118" s="11">
        <f t="shared" si="98"/>
        <v>0</v>
      </c>
      <c r="J118" s="11">
        <f t="shared" si="98"/>
        <v>0</v>
      </c>
      <c r="K118" s="11">
        <f t="shared" si="98"/>
        <v>0</v>
      </c>
      <c r="L118" s="11">
        <f t="shared" si="98"/>
        <v>0</v>
      </c>
      <c r="M118" s="11">
        <f t="shared" si="98"/>
        <v>0</v>
      </c>
      <c r="N118" s="11">
        <f t="shared" si="98"/>
        <v>0</v>
      </c>
      <c r="O118" s="21"/>
      <c r="P118" s="21"/>
      <c r="Q118" s="21"/>
      <c r="V118" s="12">
        <v>-12.8686077</v>
      </c>
      <c r="W118" s="12">
        <v>-19.960864779999998</v>
      </c>
      <c r="X118" s="12">
        <v>-15.558930709999998</v>
      </c>
      <c r="Y118" s="12">
        <v>-20.098681860000003</v>
      </c>
      <c r="Z118" s="12">
        <v>-23.013713159999991</v>
      </c>
      <c r="AA118" s="12">
        <v>-19.808889410000003</v>
      </c>
      <c r="AB118" s="12">
        <v>-40.551502530000015</v>
      </c>
      <c r="AC118" s="12">
        <v>-18.886104119230851</v>
      </c>
      <c r="BB118" s="8" t="s">
        <v>75</v>
      </c>
    </row>
    <row r="119" spans="1:54" x14ac:dyDescent="0.2">
      <c r="B119" s="1" t="s">
        <v>138</v>
      </c>
      <c r="C119" s="45" t="s">
        <v>187</v>
      </c>
      <c r="G119" s="11">
        <f t="shared" si="98"/>
        <v>-9.8321100000007544E-3</v>
      </c>
      <c r="H119" s="11">
        <f t="shared" si="98"/>
        <v>0</v>
      </c>
      <c r="I119" s="11">
        <f t="shared" si="98"/>
        <v>0</v>
      </c>
      <c r="J119" s="11">
        <f t="shared" si="98"/>
        <v>0</v>
      </c>
      <c r="K119" s="11">
        <f t="shared" si="98"/>
        <v>0</v>
      </c>
      <c r="L119" s="11">
        <f t="shared" si="98"/>
        <v>0</v>
      </c>
      <c r="M119" s="11">
        <f t="shared" si="98"/>
        <v>0</v>
      </c>
      <c r="N119" s="11">
        <f t="shared" si="98"/>
        <v>0</v>
      </c>
      <c r="O119" s="21"/>
      <c r="P119" s="21"/>
      <c r="Q119" s="21"/>
      <c r="V119" s="12">
        <v>0</v>
      </c>
      <c r="W119" s="12">
        <v>-9.8321099999996719E-3</v>
      </c>
      <c r="X119" s="12">
        <v>-3.6082248300317588E-16</v>
      </c>
      <c r="Y119" s="12">
        <v>-7.2164496600635175E-16</v>
      </c>
      <c r="Z119" s="12">
        <v>0</v>
      </c>
      <c r="AA119" s="12">
        <v>0</v>
      </c>
      <c r="AB119" s="12">
        <v>0</v>
      </c>
      <c r="AC119" s="12">
        <v>0</v>
      </c>
      <c r="BB119" s="8" t="s">
        <v>75</v>
      </c>
    </row>
    <row r="120" spans="1:54" x14ac:dyDescent="0.2">
      <c r="B120" s="1" t="s">
        <v>139</v>
      </c>
      <c r="C120" s="45" t="s">
        <v>187</v>
      </c>
      <c r="G120" s="11">
        <f t="shared" si="98"/>
        <v>0</v>
      </c>
      <c r="H120" s="11">
        <f t="shared" si="98"/>
        <v>0</v>
      </c>
      <c r="I120" s="11">
        <f t="shared" si="98"/>
        <v>0</v>
      </c>
      <c r="J120" s="11">
        <f t="shared" si="98"/>
        <v>0</v>
      </c>
      <c r="K120" s="11">
        <f t="shared" si="98"/>
        <v>0</v>
      </c>
      <c r="L120" s="11">
        <f t="shared" si="98"/>
        <v>0</v>
      </c>
      <c r="M120" s="11">
        <f t="shared" si="98"/>
        <v>0</v>
      </c>
      <c r="N120" s="11">
        <f t="shared" si="98"/>
        <v>0</v>
      </c>
      <c r="O120" s="21"/>
      <c r="P120" s="21"/>
      <c r="Q120" s="21"/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BB120" s="8" t="s">
        <v>75</v>
      </c>
    </row>
    <row r="121" spans="1:54" x14ac:dyDescent="0.2">
      <c r="B121" s="1" t="s">
        <v>14</v>
      </c>
      <c r="C121" s="45" t="s">
        <v>187</v>
      </c>
      <c r="G121" s="11">
        <f t="shared" si="98"/>
        <v>0</v>
      </c>
      <c r="H121" s="11">
        <f t="shared" si="98"/>
        <v>0</v>
      </c>
      <c r="I121" s="11">
        <f t="shared" si="98"/>
        <v>0</v>
      </c>
      <c r="J121" s="11">
        <f t="shared" si="98"/>
        <v>0</v>
      </c>
      <c r="K121" s="11">
        <f t="shared" si="98"/>
        <v>0</v>
      </c>
      <c r="L121" s="11">
        <f t="shared" si="98"/>
        <v>0</v>
      </c>
      <c r="M121" s="11">
        <f t="shared" si="98"/>
        <v>0</v>
      </c>
      <c r="N121" s="11">
        <f t="shared" si="98"/>
        <v>0</v>
      </c>
      <c r="O121" s="21"/>
      <c r="P121" s="21"/>
      <c r="Q121" s="21"/>
      <c r="V121" s="12">
        <v>0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0</v>
      </c>
      <c r="BB121" s="8" t="s">
        <v>75</v>
      </c>
    </row>
    <row r="122" spans="1:54" s="2" customFormat="1" x14ac:dyDescent="0.2">
      <c r="B122" s="18" t="s">
        <v>140</v>
      </c>
      <c r="C122" s="45" t="s">
        <v>187</v>
      </c>
      <c r="D122" s="18"/>
      <c r="E122" s="18"/>
      <c r="F122" s="18"/>
      <c r="G122" s="13">
        <f t="shared" si="98"/>
        <v>-68.496917159999995</v>
      </c>
      <c r="H122" s="13">
        <f t="shared" si="98"/>
        <v>-102.26020921923086</v>
      </c>
      <c r="I122" s="13">
        <f t="shared" si="98"/>
        <v>0</v>
      </c>
      <c r="J122" s="13">
        <f t="shared" si="98"/>
        <v>0</v>
      </c>
      <c r="K122" s="13">
        <f t="shared" si="98"/>
        <v>0</v>
      </c>
      <c r="L122" s="13">
        <f t="shared" si="98"/>
        <v>0</v>
      </c>
      <c r="M122" s="13">
        <f t="shared" si="98"/>
        <v>0</v>
      </c>
      <c r="N122" s="13">
        <f t="shared" si="98"/>
        <v>0</v>
      </c>
      <c r="O122" s="40"/>
      <c r="P122" s="40"/>
      <c r="Q122" s="40"/>
      <c r="R122" s="18"/>
      <c r="S122" s="18"/>
      <c r="T122" s="18"/>
      <c r="U122" s="18"/>
      <c r="V122" s="24">
        <f>+SUM(V116:V121)</f>
        <v>-12.8686077</v>
      </c>
      <c r="W122" s="24">
        <f t="shared" ref="W122:AC122" si="99">+SUM(W116:W121)</f>
        <v>-19.970696889999999</v>
      </c>
      <c r="X122" s="24">
        <f t="shared" si="99"/>
        <v>-15.558930709999998</v>
      </c>
      <c r="Y122" s="24">
        <f t="shared" si="99"/>
        <v>-20.098681860000003</v>
      </c>
      <c r="Z122" s="24">
        <f t="shared" si="99"/>
        <v>-23.013713159999991</v>
      </c>
      <c r="AA122" s="24">
        <f t="shared" si="99"/>
        <v>-19.808889410000003</v>
      </c>
      <c r="AB122" s="24">
        <f t="shared" si="99"/>
        <v>-40.551502530000015</v>
      </c>
      <c r="AC122" s="24">
        <f t="shared" si="99"/>
        <v>-18.886104119230851</v>
      </c>
      <c r="BB122" s="83" t="s">
        <v>75</v>
      </c>
    </row>
    <row r="123" spans="1:54" s="25" customFormat="1" x14ac:dyDescent="0.2">
      <c r="B123" s="26" t="s">
        <v>141</v>
      </c>
      <c r="C123" s="45" t="s">
        <v>177</v>
      </c>
      <c r="D123" s="26"/>
      <c r="E123" s="26"/>
      <c r="F123" s="26"/>
      <c r="G123" s="42" t="str">
        <f>+IFERROR(G122/G116,"NM")</f>
        <v>NM</v>
      </c>
      <c r="H123" s="42" t="str">
        <f>+IFERROR(H122/H116,"NM")</f>
        <v>NM</v>
      </c>
      <c r="I123" s="42" t="str">
        <f t="shared" ref="I123:N123" si="100">+IFERROR(I122/I116,"NM")</f>
        <v>NM</v>
      </c>
      <c r="J123" s="42" t="str">
        <f t="shared" si="100"/>
        <v>NM</v>
      </c>
      <c r="K123" s="42" t="str">
        <f t="shared" si="100"/>
        <v>NM</v>
      </c>
      <c r="L123" s="42" t="str">
        <f t="shared" si="100"/>
        <v>NM</v>
      </c>
      <c r="M123" s="42" t="str">
        <f t="shared" si="100"/>
        <v>NM</v>
      </c>
      <c r="N123" s="42" t="str">
        <f t="shared" si="100"/>
        <v>NM</v>
      </c>
      <c r="O123" s="41"/>
      <c r="P123" s="41"/>
      <c r="Q123" s="41"/>
      <c r="R123" s="26"/>
      <c r="S123" s="26"/>
      <c r="T123" s="26"/>
      <c r="U123" s="26"/>
      <c r="V123" s="42" t="str">
        <f>+IFERROR(V122/V116,"NM")</f>
        <v>NM</v>
      </c>
      <c r="W123" s="42" t="str">
        <f t="shared" ref="W123:AC123" si="101">+IFERROR(W122/W116,"NM")</f>
        <v>NM</v>
      </c>
      <c r="X123" s="42" t="str">
        <f t="shared" si="101"/>
        <v>NM</v>
      </c>
      <c r="Y123" s="42" t="str">
        <f t="shared" si="101"/>
        <v>NM</v>
      </c>
      <c r="Z123" s="42" t="str">
        <f t="shared" si="101"/>
        <v>NM</v>
      </c>
      <c r="AA123" s="42" t="str">
        <f t="shared" si="101"/>
        <v>NM</v>
      </c>
      <c r="AB123" s="42" t="str">
        <f t="shared" si="101"/>
        <v>NM</v>
      </c>
      <c r="AC123" s="42" t="str">
        <f t="shared" si="101"/>
        <v>NM</v>
      </c>
      <c r="BB123" s="88" t="s">
        <v>75</v>
      </c>
    </row>
    <row r="124" spans="1:54" x14ac:dyDescent="0.2">
      <c r="B124" s="1" t="s">
        <v>142</v>
      </c>
      <c r="C124" s="45" t="s">
        <v>187</v>
      </c>
      <c r="G124" s="11">
        <f t="shared" ref="G124:N125" si="102">+SUMIFS(124:124,$6:$6,G$3)</f>
        <v>13.176007154553027</v>
      </c>
      <c r="H124" s="11">
        <f t="shared" si="102"/>
        <v>37.268914299999999</v>
      </c>
      <c r="I124" s="11">
        <f t="shared" si="102"/>
        <v>0</v>
      </c>
      <c r="J124" s="11">
        <f t="shared" si="102"/>
        <v>0</v>
      </c>
      <c r="K124" s="11">
        <f t="shared" si="102"/>
        <v>0</v>
      </c>
      <c r="L124" s="11">
        <f t="shared" si="102"/>
        <v>0</v>
      </c>
      <c r="M124" s="11">
        <f t="shared" si="102"/>
        <v>0</v>
      </c>
      <c r="N124" s="11">
        <f t="shared" si="102"/>
        <v>0</v>
      </c>
      <c r="O124" s="21"/>
      <c r="P124" s="21"/>
      <c r="Q124" s="21"/>
      <c r="V124" s="12">
        <v>0.30978749128409078</v>
      </c>
      <c r="W124" s="12">
        <v>6.7610852401067891</v>
      </c>
      <c r="X124" s="12">
        <v>-0.23201273540860967</v>
      </c>
      <c r="Y124" s="12">
        <v>6.3371471585707564</v>
      </c>
      <c r="Z124" s="12">
        <v>6.2970138099999993</v>
      </c>
      <c r="AA124" s="12">
        <v>5.7359959400000005</v>
      </c>
      <c r="AB124" s="12">
        <v>24.452063899999999</v>
      </c>
      <c r="AC124" s="12">
        <v>0.78384065000000192</v>
      </c>
      <c r="BB124" s="8" t="s">
        <v>75</v>
      </c>
    </row>
    <row r="125" spans="1:54" s="2" customFormat="1" x14ac:dyDescent="0.2">
      <c r="B125" s="18" t="s">
        <v>4</v>
      </c>
      <c r="C125" s="45" t="s">
        <v>187</v>
      </c>
      <c r="D125" s="148">
        <f ca="1">+Ctrl!$G$56</f>
        <v>-70</v>
      </c>
      <c r="E125" s="18"/>
      <c r="F125" s="18"/>
      <c r="G125" s="13">
        <f t="shared" si="102"/>
        <v>-55.320910005446976</v>
      </c>
      <c r="H125" s="13">
        <f t="shared" si="102"/>
        <v>-64.991294919230853</v>
      </c>
      <c r="I125" s="13">
        <f t="shared" ca="1" si="102"/>
        <v>-70</v>
      </c>
      <c r="J125" s="13">
        <f t="shared" ca="1" si="102"/>
        <v>-72.8</v>
      </c>
      <c r="K125" s="13">
        <f t="shared" ca="1" si="102"/>
        <v>-75.712000000000003</v>
      </c>
      <c r="L125" s="13">
        <f t="shared" ca="1" si="102"/>
        <v>-78.740480000000005</v>
      </c>
      <c r="M125" s="13">
        <f t="shared" ca="1" si="102"/>
        <v>-81.890099200000009</v>
      </c>
      <c r="N125" s="13">
        <f t="shared" ca="1" si="102"/>
        <v>-85.165703168000007</v>
      </c>
      <c r="O125" s="40"/>
      <c r="P125" s="131">
        <f ca="1">+IFERROR((N125/I125)^(1/5)-1,"NM")</f>
        <v>4.0000000000000036E-2</v>
      </c>
      <c r="Q125" s="40"/>
      <c r="R125" s="18"/>
      <c r="S125" s="18"/>
      <c r="T125" s="18"/>
      <c r="U125" s="18"/>
      <c r="V125" s="24">
        <f>+V124+V122</f>
        <v>-12.558820208715909</v>
      </c>
      <c r="W125" s="24">
        <f t="shared" ref="W125:AC125" si="103">+W124+W122</f>
        <v>-13.20961164989321</v>
      </c>
      <c r="X125" s="24">
        <f t="shared" si="103"/>
        <v>-15.790943445408608</v>
      </c>
      <c r="Y125" s="24">
        <f t="shared" si="103"/>
        <v>-13.761534701429246</v>
      </c>
      <c r="Z125" s="24">
        <f t="shared" si="103"/>
        <v>-16.716699349999992</v>
      </c>
      <c r="AA125" s="24">
        <f t="shared" si="103"/>
        <v>-14.072893470000002</v>
      </c>
      <c r="AB125" s="24">
        <f t="shared" si="103"/>
        <v>-16.099438630000016</v>
      </c>
      <c r="AC125" s="24">
        <f t="shared" si="103"/>
        <v>-18.102263469230849</v>
      </c>
      <c r="AD125" s="114">
        <f ca="1">+$D125/4</f>
        <v>-17.5</v>
      </c>
      <c r="AE125" s="24">
        <f ca="1">+$D125/4</f>
        <v>-17.5</v>
      </c>
      <c r="AF125" s="24">
        <f ca="1">+$D125/4</f>
        <v>-17.5</v>
      </c>
      <c r="AG125" s="24">
        <f ca="1">+$D125/4</f>
        <v>-17.5</v>
      </c>
      <c r="AH125" s="114">
        <f t="shared" ref="AH125:BA125" ca="1" si="104">+AD125*(1+inflation)</f>
        <v>-18.2</v>
      </c>
      <c r="AI125" s="24">
        <f t="shared" ca="1" si="104"/>
        <v>-18.2</v>
      </c>
      <c r="AJ125" s="24">
        <f t="shared" ca="1" si="104"/>
        <v>-18.2</v>
      </c>
      <c r="AK125" s="24">
        <f t="shared" ca="1" si="104"/>
        <v>-18.2</v>
      </c>
      <c r="AL125" s="24">
        <f t="shared" ca="1" si="104"/>
        <v>-18.928000000000001</v>
      </c>
      <c r="AM125" s="24">
        <f t="shared" ca="1" si="104"/>
        <v>-18.928000000000001</v>
      </c>
      <c r="AN125" s="24">
        <f t="shared" ca="1" si="104"/>
        <v>-18.928000000000001</v>
      </c>
      <c r="AO125" s="24">
        <f t="shared" ca="1" si="104"/>
        <v>-18.928000000000001</v>
      </c>
      <c r="AP125" s="24">
        <f t="shared" ca="1" si="104"/>
        <v>-19.685120000000001</v>
      </c>
      <c r="AQ125" s="24">
        <f t="shared" ca="1" si="104"/>
        <v>-19.685120000000001</v>
      </c>
      <c r="AR125" s="24">
        <f t="shared" ca="1" si="104"/>
        <v>-19.685120000000001</v>
      </c>
      <c r="AS125" s="24">
        <f t="shared" ca="1" si="104"/>
        <v>-19.685120000000001</v>
      </c>
      <c r="AT125" s="24">
        <f t="shared" ca="1" si="104"/>
        <v>-20.472524800000002</v>
      </c>
      <c r="AU125" s="24">
        <f t="shared" ca="1" si="104"/>
        <v>-20.472524800000002</v>
      </c>
      <c r="AV125" s="24">
        <f t="shared" ca="1" si="104"/>
        <v>-20.472524800000002</v>
      </c>
      <c r="AW125" s="24">
        <f t="shared" ca="1" si="104"/>
        <v>-20.472524800000002</v>
      </c>
      <c r="AX125" s="24">
        <f t="shared" ca="1" si="104"/>
        <v>-21.291425792000002</v>
      </c>
      <c r="AY125" s="24">
        <f t="shared" ca="1" si="104"/>
        <v>-21.291425792000002</v>
      </c>
      <c r="AZ125" s="24">
        <f t="shared" ca="1" si="104"/>
        <v>-21.291425792000002</v>
      </c>
      <c r="BA125" s="24">
        <f t="shared" ca="1" si="104"/>
        <v>-21.291425792000002</v>
      </c>
      <c r="BB125" s="83" t="s">
        <v>75</v>
      </c>
    </row>
    <row r="126" spans="1:54" s="25" customFormat="1" x14ac:dyDescent="0.2">
      <c r="B126" s="26" t="s">
        <v>141</v>
      </c>
      <c r="C126" s="45" t="s">
        <v>177</v>
      </c>
      <c r="D126" s="26"/>
      <c r="E126" s="26"/>
      <c r="F126" s="26"/>
      <c r="G126" s="42" t="str">
        <f>+IFERROR(G125/G116,"NM")</f>
        <v>NM</v>
      </c>
      <c r="H126" s="42" t="str">
        <f>+IFERROR(H125/H116,"NM")</f>
        <v>NM</v>
      </c>
      <c r="I126" s="42" t="str">
        <f t="shared" ref="I126:N126" ca="1" si="105">+IFERROR(I125/I116,"NM")</f>
        <v>NM</v>
      </c>
      <c r="J126" s="42" t="str">
        <f t="shared" ca="1" si="105"/>
        <v>NM</v>
      </c>
      <c r="K126" s="42" t="str">
        <f t="shared" ca="1" si="105"/>
        <v>NM</v>
      </c>
      <c r="L126" s="42" t="str">
        <f t="shared" ca="1" si="105"/>
        <v>NM</v>
      </c>
      <c r="M126" s="42" t="str">
        <f t="shared" ca="1" si="105"/>
        <v>NM</v>
      </c>
      <c r="N126" s="42" t="str">
        <f t="shared" ca="1" si="105"/>
        <v>NM</v>
      </c>
      <c r="O126" s="41"/>
      <c r="P126" s="41"/>
      <c r="Q126" s="41"/>
      <c r="R126" s="26"/>
      <c r="S126" s="26"/>
      <c r="T126" s="26"/>
      <c r="U126" s="26"/>
      <c r="V126" s="42" t="str">
        <f>+IFERROR(V125/V116,"NM")</f>
        <v>NM</v>
      </c>
      <c r="W126" s="42" t="str">
        <f t="shared" ref="W126:AC126" si="106">+IFERROR(W125/W116,"NM")</f>
        <v>NM</v>
      </c>
      <c r="X126" s="42" t="str">
        <f t="shared" si="106"/>
        <v>NM</v>
      </c>
      <c r="Y126" s="42" t="str">
        <f t="shared" si="106"/>
        <v>NM</v>
      </c>
      <c r="Z126" s="42" t="str">
        <f t="shared" si="106"/>
        <v>NM</v>
      </c>
      <c r="AA126" s="42" t="str">
        <f t="shared" si="106"/>
        <v>NM</v>
      </c>
      <c r="AB126" s="42" t="str">
        <f t="shared" si="106"/>
        <v>NM</v>
      </c>
      <c r="AC126" s="42" t="str">
        <f t="shared" si="106"/>
        <v>NM</v>
      </c>
      <c r="BB126" s="88" t="s">
        <v>75</v>
      </c>
    </row>
    <row r="127" spans="1:54" x14ac:dyDescent="0.2">
      <c r="G127" s="11"/>
      <c r="H127" s="11"/>
      <c r="I127" s="11"/>
      <c r="J127" s="11"/>
      <c r="K127" s="11"/>
      <c r="L127" s="11"/>
      <c r="M127" s="11"/>
      <c r="N127" s="11"/>
      <c r="O127" s="21"/>
      <c r="P127" s="21"/>
      <c r="Q127" s="21"/>
      <c r="V127" s="14"/>
      <c r="W127" s="14"/>
      <c r="X127" s="14"/>
      <c r="Y127" s="14"/>
      <c r="Z127" s="14"/>
      <c r="AA127" s="14"/>
      <c r="AB127" s="14"/>
      <c r="AC127" s="14"/>
      <c r="BB127" s="8" t="s">
        <v>75</v>
      </c>
    </row>
    <row r="128" spans="1:54" s="35" customFormat="1" x14ac:dyDescent="0.2">
      <c r="A128" s="1" t="s">
        <v>75</v>
      </c>
      <c r="B128" s="36" t="s">
        <v>615</v>
      </c>
      <c r="C128" s="36"/>
      <c r="D128" s="36"/>
      <c r="E128" s="36"/>
      <c r="F128" s="36"/>
      <c r="G128" s="37"/>
      <c r="H128" s="37"/>
      <c r="I128" s="37"/>
      <c r="J128" s="37"/>
      <c r="K128" s="37"/>
      <c r="L128" s="37"/>
      <c r="M128" s="37"/>
      <c r="N128" s="37"/>
      <c r="R128" s="36"/>
      <c r="S128" s="36"/>
      <c r="T128" s="36"/>
      <c r="U128" s="36"/>
      <c r="V128" s="38"/>
      <c r="W128" s="38"/>
      <c r="X128" s="38"/>
      <c r="Y128" s="38"/>
      <c r="Z128" s="38"/>
      <c r="AA128" s="38"/>
      <c r="AB128" s="38"/>
      <c r="AC128" s="38"/>
      <c r="BB128" s="90" t="s">
        <v>75</v>
      </c>
    </row>
    <row r="129" spans="2:54" s="2" customFormat="1" x14ac:dyDescent="0.2">
      <c r="B129" s="2" t="s">
        <v>132</v>
      </c>
      <c r="C129" s="45" t="s">
        <v>187</v>
      </c>
      <c r="G129" s="13">
        <f t="shared" ref="G129:N135" si="107">+SUMIFS(129:129,$6:$6,G$3)</f>
        <v>0</v>
      </c>
      <c r="H129" s="13">
        <f t="shared" si="107"/>
        <v>0</v>
      </c>
      <c r="I129" s="13">
        <f t="shared" ca="1" si="107"/>
        <v>0</v>
      </c>
      <c r="J129" s="13">
        <f t="shared" ca="1" si="107"/>
        <v>0</v>
      </c>
      <c r="K129" s="13">
        <f t="shared" ca="1" si="107"/>
        <v>0</v>
      </c>
      <c r="L129" s="13">
        <f t="shared" ca="1" si="107"/>
        <v>0</v>
      </c>
      <c r="M129" s="13">
        <f t="shared" ca="1" si="107"/>
        <v>0</v>
      </c>
      <c r="N129" s="13">
        <f t="shared" ca="1" si="107"/>
        <v>0</v>
      </c>
      <c r="O129" s="40"/>
      <c r="P129" s="40"/>
      <c r="Q129" s="40"/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48">
        <f ca="1">+SUMIFS(Growth!33:33,Growth!$3:$3,Segments!AD$3)</f>
        <v>0</v>
      </c>
      <c r="AE129" s="148">
        <f ca="1">+SUMIFS(Growth!33:33,Growth!$3:$3,Segments!AE$3)</f>
        <v>0</v>
      </c>
      <c r="AF129" s="148">
        <f ca="1">+SUMIFS(Growth!33:33,Growth!$3:$3,Segments!AF$3)</f>
        <v>0</v>
      </c>
      <c r="AG129" s="148">
        <f ca="1">+SUMIFS(Growth!33:33,Growth!$3:$3,Segments!AG$3)</f>
        <v>0</v>
      </c>
      <c r="AH129" s="148">
        <f ca="1">+SUMIFS(Growth!33:33,Growth!$3:$3,Segments!AH$3)</f>
        <v>0</v>
      </c>
      <c r="AI129" s="148">
        <f ca="1">+SUMIFS(Growth!33:33,Growth!$3:$3,Segments!AI$3)</f>
        <v>0</v>
      </c>
      <c r="AJ129" s="148">
        <f ca="1">+SUMIFS(Growth!33:33,Growth!$3:$3,Segments!AJ$3)</f>
        <v>0</v>
      </c>
      <c r="AK129" s="148">
        <f ca="1">+SUMIFS(Growth!33:33,Growth!$3:$3,Segments!AK$3)</f>
        <v>0</v>
      </c>
      <c r="AL129" s="148">
        <f ca="1">+SUMIFS(Growth!33:33,Growth!$3:$3,Segments!AL$3)</f>
        <v>0</v>
      </c>
      <c r="AM129" s="148">
        <f ca="1">+SUMIFS(Growth!33:33,Growth!$3:$3,Segments!AM$3)</f>
        <v>0</v>
      </c>
      <c r="AN129" s="148">
        <f ca="1">+SUMIFS(Growth!33:33,Growth!$3:$3,Segments!AN$3)</f>
        <v>0</v>
      </c>
      <c r="AO129" s="148">
        <f ca="1">+SUMIFS(Growth!33:33,Growth!$3:$3,Segments!AO$3)</f>
        <v>0</v>
      </c>
      <c r="AP129" s="148">
        <f ca="1">+SUMIFS(Growth!33:33,Growth!$3:$3,Segments!AP$3)</f>
        <v>0</v>
      </c>
      <c r="AQ129" s="148">
        <f ca="1">+SUMIFS(Growth!33:33,Growth!$3:$3,Segments!AQ$3)</f>
        <v>0</v>
      </c>
      <c r="AR129" s="148">
        <f ca="1">+SUMIFS(Growth!33:33,Growth!$3:$3,Segments!AR$3)</f>
        <v>0</v>
      </c>
      <c r="AS129" s="148">
        <f ca="1">+SUMIFS(Growth!33:33,Growth!$3:$3,Segments!AS$3)</f>
        <v>0</v>
      </c>
      <c r="AT129" s="148">
        <f ca="1">+SUMIFS(Growth!33:33,Growth!$3:$3,Segments!AT$3)</f>
        <v>0</v>
      </c>
      <c r="AU129" s="148">
        <f ca="1">+SUMIFS(Growth!33:33,Growth!$3:$3,Segments!AU$3)</f>
        <v>0</v>
      </c>
      <c r="AV129" s="148">
        <f ca="1">+SUMIFS(Growth!33:33,Growth!$3:$3,Segments!AV$3)</f>
        <v>0</v>
      </c>
      <c r="AW129" s="148">
        <f ca="1">+SUMIFS(Growth!33:33,Growth!$3:$3,Segments!AW$3)</f>
        <v>0</v>
      </c>
      <c r="AX129" s="148">
        <f ca="1">+SUMIFS(Growth!33:33,Growth!$3:$3,Segments!AX$3)</f>
        <v>0</v>
      </c>
      <c r="AY129" s="148">
        <f ca="1">+SUMIFS(Growth!33:33,Growth!$3:$3,Segments!AY$3)</f>
        <v>0</v>
      </c>
      <c r="AZ129" s="148">
        <f ca="1">+SUMIFS(Growth!33:33,Growth!$3:$3,Segments!AZ$3)</f>
        <v>0</v>
      </c>
      <c r="BA129" s="148">
        <f ca="1">+SUMIFS(Growth!33:33,Growth!$3:$3,Segments!BA$3)</f>
        <v>0</v>
      </c>
      <c r="BB129" s="83" t="s">
        <v>75</v>
      </c>
    </row>
    <row r="130" spans="2:54" s="2" customFormat="1" x14ac:dyDescent="0.2">
      <c r="B130" s="2" t="s">
        <v>136</v>
      </c>
      <c r="C130" s="45" t="s">
        <v>187</v>
      </c>
      <c r="G130" s="13">
        <f t="shared" si="107"/>
        <v>0</v>
      </c>
      <c r="H130" s="13">
        <f t="shared" si="107"/>
        <v>0</v>
      </c>
      <c r="I130" s="13">
        <f t="shared" ca="1" si="107"/>
        <v>0</v>
      </c>
      <c r="J130" s="13">
        <f t="shared" ca="1" si="107"/>
        <v>0</v>
      </c>
      <c r="K130" s="13">
        <f t="shared" ca="1" si="107"/>
        <v>0</v>
      </c>
      <c r="L130" s="13">
        <f t="shared" ca="1" si="107"/>
        <v>0</v>
      </c>
      <c r="M130" s="13">
        <f t="shared" ca="1" si="107"/>
        <v>0</v>
      </c>
      <c r="N130" s="13">
        <f t="shared" ca="1" si="107"/>
        <v>0</v>
      </c>
      <c r="O130" s="40"/>
      <c r="P130" s="40"/>
      <c r="Q130" s="40"/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48">
        <f ca="1">+SUMIFS(Growth!34:34,Growth!$3:$3,Segments!AD$3)</f>
        <v>0</v>
      </c>
      <c r="AE130" s="148">
        <f ca="1">+SUMIFS(Growth!34:34,Growth!$3:$3,Segments!AE$3)</f>
        <v>0</v>
      </c>
      <c r="AF130" s="148">
        <f ca="1">+SUMIFS(Growth!34:34,Growth!$3:$3,Segments!AF$3)</f>
        <v>0</v>
      </c>
      <c r="AG130" s="148">
        <f ca="1">+SUMIFS(Growth!34:34,Growth!$3:$3,Segments!AG$3)</f>
        <v>0</v>
      </c>
      <c r="AH130" s="148">
        <f ca="1">+SUMIFS(Growth!34:34,Growth!$3:$3,Segments!AH$3)</f>
        <v>0</v>
      </c>
      <c r="AI130" s="148">
        <f ca="1">+SUMIFS(Growth!34:34,Growth!$3:$3,Segments!AI$3)</f>
        <v>0</v>
      </c>
      <c r="AJ130" s="148">
        <f ca="1">+SUMIFS(Growth!34:34,Growth!$3:$3,Segments!AJ$3)</f>
        <v>0</v>
      </c>
      <c r="AK130" s="148">
        <f ca="1">+SUMIFS(Growth!34:34,Growth!$3:$3,Segments!AK$3)</f>
        <v>0</v>
      </c>
      <c r="AL130" s="148">
        <f ca="1">+SUMIFS(Growth!34:34,Growth!$3:$3,Segments!AL$3)</f>
        <v>0</v>
      </c>
      <c r="AM130" s="148">
        <f ca="1">+SUMIFS(Growth!34:34,Growth!$3:$3,Segments!AM$3)</f>
        <v>0</v>
      </c>
      <c r="AN130" s="148">
        <f ca="1">+SUMIFS(Growth!34:34,Growth!$3:$3,Segments!AN$3)</f>
        <v>0</v>
      </c>
      <c r="AO130" s="148">
        <f ca="1">+SUMIFS(Growth!34:34,Growth!$3:$3,Segments!AO$3)</f>
        <v>0</v>
      </c>
      <c r="AP130" s="148">
        <f ca="1">+SUMIFS(Growth!34:34,Growth!$3:$3,Segments!AP$3)</f>
        <v>0</v>
      </c>
      <c r="AQ130" s="148">
        <f ca="1">+SUMIFS(Growth!34:34,Growth!$3:$3,Segments!AQ$3)</f>
        <v>0</v>
      </c>
      <c r="AR130" s="148">
        <f ca="1">+SUMIFS(Growth!34:34,Growth!$3:$3,Segments!AR$3)</f>
        <v>0</v>
      </c>
      <c r="AS130" s="148">
        <f ca="1">+SUMIFS(Growth!34:34,Growth!$3:$3,Segments!AS$3)</f>
        <v>0</v>
      </c>
      <c r="AT130" s="148">
        <f ca="1">+SUMIFS(Growth!34:34,Growth!$3:$3,Segments!AT$3)</f>
        <v>0</v>
      </c>
      <c r="AU130" s="148">
        <f ca="1">+SUMIFS(Growth!34:34,Growth!$3:$3,Segments!AU$3)</f>
        <v>0</v>
      </c>
      <c r="AV130" s="148">
        <f ca="1">+SUMIFS(Growth!34:34,Growth!$3:$3,Segments!AV$3)</f>
        <v>0</v>
      </c>
      <c r="AW130" s="148">
        <f ca="1">+SUMIFS(Growth!34:34,Growth!$3:$3,Segments!AW$3)</f>
        <v>0</v>
      </c>
      <c r="AX130" s="148">
        <f ca="1">+SUMIFS(Growth!34:34,Growth!$3:$3,Segments!AX$3)</f>
        <v>0</v>
      </c>
      <c r="AY130" s="148">
        <f ca="1">+SUMIFS(Growth!34:34,Growth!$3:$3,Segments!AY$3)</f>
        <v>0</v>
      </c>
      <c r="AZ130" s="148">
        <f ca="1">+SUMIFS(Growth!34:34,Growth!$3:$3,Segments!AZ$3)</f>
        <v>0</v>
      </c>
      <c r="BA130" s="148">
        <f ca="1">+SUMIFS(Growth!34:34,Growth!$3:$3,Segments!BA$3)</f>
        <v>0</v>
      </c>
      <c r="BB130" s="83" t="s">
        <v>75</v>
      </c>
    </row>
    <row r="131" spans="2:54" x14ac:dyDescent="0.2">
      <c r="B131" s="1" t="s">
        <v>137</v>
      </c>
      <c r="C131" s="45" t="s">
        <v>187</v>
      </c>
      <c r="G131" s="11">
        <f t="shared" si="107"/>
        <v>0</v>
      </c>
      <c r="H131" s="11">
        <f t="shared" si="107"/>
        <v>0</v>
      </c>
      <c r="I131" s="11">
        <f t="shared" si="107"/>
        <v>0</v>
      </c>
      <c r="J131" s="11">
        <f t="shared" si="107"/>
        <v>0</v>
      </c>
      <c r="K131" s="11">
        <f t="shared" si="107"/>
        <v>0</v>
      </c>
      <c r="L131" s="11">
        <f t="shared" si="107"/>
        <v>0</v>
      </c>
      <c r="M131" s="11">
        <f t="shared" si="107"/>
        <v>0</v>
      </c>
      <c r="N131" s="11">
        <f t="shared" si="107"/>
        <v>0</v>
      </c>
      <c r="O131" s="21"/>
      <c r="P131" s="21"/>
      <c r="Q131" s="21"/>
      <c r="V131" s="12">
        <v>0</v>
      </c>
      <c r="W131" s="12">
        <v>0</v>
      </c>
      <c r="X131" s="12">
        <v>0</v>
      </c>
      <c r="Y131" s="12">
        <v>0</v>
      </c>
      <c r="Z131" s="12">
        <v>0</v>
      </c>
      <c r="AA131" s="12">
        <v>0</v>
      </c>
      <c r="AB131" s="12">
        <v>0</v>
      </c>
      <c r="AC131" s="12">
        <v>0</v>
      </c>
      <c r="AD131" s="156"/>
      <c r="AE131" s="156"/>
      <c r="AF131" s="156"/>
      <c r="AG131" s="156"/>
      <c r="AH131" s="156"/>
      <c r="AI131" s="156"/>
      <c r="AJ131" s="156"/>
      <c r="AK131" s="156"/>
      <c r="AL131" s="156"/>
      <c r="AM131" s="156"/>
      <c r="AN131" s="156"/>
      <c r="AO131" s="156"/>
      <c r="AP131" s="156"/>
      <c r="AQ131" s="156"/>
      <c r="AR131" s="156"/>
      <c r="AS131" s="156"/>
      <c r="AT131" s="156"/>
      <c r="AU131" s="156"/>
      <c r="AV131" s="156"/>
      <c r="AW131" s="156"/>
      <c r="AX131" s="156"/>
      <c r="AY131" s="156"/>
      <c r="AZ131" s="156"/>
      <c r="BA131" s="156"/>
      <c r="BB131" s="8" t="s">
        <v>75</v>
      </c>
    </row>
    <row r="132" spans="2:54" x14ac:dyDescent="0.2">
      <c r="B132" s="1" t="s">
        <v>138</v>
      </c>
      <c r="C132" s="45" t="s">
        <v>187</v>
      </c>
      <c r="G132" s="11">
        <f t="shared" si="107"/>
        <v>0</v>
      </c>
      <c r="H132" s="11">
        <f t="shared" si="107"/>
        <v>0</v>
      </c>
      <c r="I132" s="11">
        <f t="shared" si="107"/>
        <v>0</v>
      </c>
      <c r="J132" s="11">
        <f t="shared" si="107"/>
        <v>0</v>
      </c>
      <c r="K132" s="11">
        <f t="shared" si="107"/>
        <v>0</v>
      </c>
      <c r="L132" s="11">
        <f t="shared" si="107"/>
        <v>0</v>
      </c>
      <c r="M132" s="11">
        <f t="shared" si="107"/>
        <v>0</v>
      </c>
      <c r="N132" s="11">
        <f t="shared" si="107"/>
        <v>0</v>
      </c>
      <c r="O132" s="21"/>
      <c r="P132" s="21"/>
      <c r="Q132" s="21"/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56"/>
      <c r="AE132" s="156"/>
      <c r="AF132" s="156"/>
      <c r="AG132" s="156"/>
      <c r="AH132" s="156"/>
      <c r="AI132" s="156"/>
      <c r="AJ132" s="156"/>
      <c r="AK132" s="156"/>
      <c r="AL132" s="156"/>
      <c r="AM132" s="156"/>
      <c r="AN132" s="156"/>
      <c r="AO132" s="156"/>
      <c r="AP132" s="156"/>
      <c r="AQ132" s="156"/>
      <c r="AR132" s="156"/>
      <c r="AS132" s="156"/>
      <c r="AT132" s="156"/>
      <c r="AU132" s="156"/>
      <c r="AV132" s="156"/>
      <c r="AW132" s="156"/>
      <c r="AX132" s="156"/>
      <c r="AY132" s="156"/>
      <c r="AZ132" s="156"/>
      <c r="BA132" s="156"/>
      <c r="BB132" s="8" t="s">
        <v>75</v>
      </c>
    </row>
    <row r="133" spans="2:54" x14ac:dyDescent="0.2">
      <c r="B133" s="1" t="s">
        <v>139</v>
      </c>
      <c r="C133" s="45" t="s">
        <v>187</v>
      </c>
      <c r="G133" s="11">
        <f t="shared" si="107"/>
        <v>0</v>
      </c>
      <c r="H133" s="11">
        <f t="shared" si="107"/>
        <v>0</v>
      </c>
      <c r="I133" s="11">
        <f t="shared" si="107"/>
        <v>0</v>
      </c>
      <c r="J133" s="11">
        <f t="shared" si="107"/>
        <v>0</v>
      </c>
      <c r="K133" s="11">
        <f t="shared" si="107"/>
        <v>0</v>
      </c>
      <c r="L133" s="11">
        <f t="shared" si="107"/>
        <v>0</v>
      </c>
      <c r="M133" s="11">
        <f t="shared" si="107"/>
        <v>0</v>
      </c>
      <c r="N133" s="11">
        <f t="shared" si="107"/>
        <v>0</v>
      </c>
      <c r="O133" s="21"/>
      <c r="P133" s="21"/>
      <c r="Q133" s="21"/>
      <c r="V133" s="12">
        <v>0</v>
      </c>
      <c r="W133" s="12">
        <v>0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56"/>
      <c r="AE133" s="156"/>
      <c r="AF133" s="156"/>
      <c r="AG133" s="156"/>
      <c r="AH133" s="156"/>
      <c r="AI133" s="156"/>
      <c r="AJ133" s="156"/>
      <c r="AK133" s="156"/>
      <c r="AL133" s="156"/>
      <c r="AM133" s="156"/>
      <c r="AN133" s="156"/>
      <c r="AO133" s="156"/>
      <c r="AP133" s="156"/>
      <c r="AQ133" s="156"/>
      <c r="AR133" s="156"/>
      <c r="AS133" s="156"/>
      <c r="AT133" s="156"/>
      <c r="AU133" s="156"/>
      <c r="AV133" s="156"/>
      <c r="AW133" s="156"/>
      <c r="AX133" s="156"/>
      <c r="AY133" s="156"/>
      <c r="AZ133" s="156"/>
      <c r="BA133" s="156"/>
      <c r="BB133" s="8" t="s">
        <v>75</v>
      </c>
    </row>
    <row r="134" spans="2:54" x14ac:dyDescent="0.2">
      <c r="B134" s="1" t="s">
        <v>14</v>
      </c>
      <c r="C134" s="45" t="s">
        <v>187</v>
      </c>
      <c r="G134" s="11">
        <f t="shared" si="107"/>
        <v>0</v>
      </c>
      <c r="H134" s="11">
        <f t="shared" si="107"/>
        <v>0</v>
      </c>
      <c r="I134" s="11">
        <f t="shared" si="107"/>
        <v>0</v>
      </c>
      <c r="J134" s="11">
        <f t="shared" si="107"/>
        <v>0</v>
      </c>
      <c r="K134" s="11">
        <f t="shared" si="107"/>
        <v>0</v>
      </c>
      <c r="L134" s="11">
        <f t="shared" si="107"/>
        <v>0</v>
      </c>
      <c r="M134" s="11">
        <f t="shared" si="107"/>
        <v>0</v>
      </c>
      <c r="N134" s="11">
        <f t="shared" si="107"/>
        <v>0</v>
      </c>
      <c r="O134" s="21"/>
      <c r="P134" s="21"/>
      <c r="Q134" s="21"/>
      <c r="V134" s="12">
        <v>0</v>
      </c>
      <c r="W134" s="12">
        <v>0</v>
      </c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56"/>
      <c r="AE134" s="156"/>
      <c r="AF134" s="156"/>
      <c r="AG134" s="156"/>
      <c r="AH134" s="156"/>
      <c r="AI134" s="156"/>
      <c r="AJ134" s="156"/>
      <c r="AK134" s="156"/>
      <c r="AL134" s="156"/>
      <c r="AM134" s="156"/>
      <c r="AN134" s="156"/>
      <c r="AO134" s="156"/>
      <c r="AP134" s="156"/>
      <c r="AQ134" s="156"/>
      <c r="AR134" s="156"/>
      <c r="AS134" s="156"/>
      <c r="AT134" s="156"/>
      <c r="AU134" s="156"/>
      <c r="AV134" s="156"/>
      <c r="AW134" s="156"/>
      <c r="AX134" s="156"/>
      <c r="AY134" s="156"/>
      <c r="AZ134" s="156"/>
      <c r="BA134" s="156"/>
      <c r="BB134" s="8" t="s">
        <v>75</v>
      </c>
    </row>
    <row r="135" spans="2:54" s="2" customFormat="1" x14ac:dyDescent="0.2">
      <c r="B135" s="18" t="s">
        <v>140</v>
      </c>
      <c r="C135" s="45" t="s">
        <v>187</v>
      </c>
      <c r="D135" s="18"/>
      <c r="E135" s="18"/>
      <c r="F135" s="18"/>
      <c r="G135" s="13">
        <f t="shared" si="107"/>
        <v>0</v>
      </c>
      <c r="H135" s="13">
        <f t="shared" si="107"/>
        <v>0</v>
      </c>
      <c r="I135" s="13">
        <f t="shared" si="107"/>
        <v>0</v>
      </c>
      <c r="J135" s="13">
        <f t="shared" si="107"/>
        <v>0</v>
      </c>
      <c r="K135" s="13">
        <f t="shared" si="107"/>
        <v>0</v>
      </c>
      <c r="L135" s="13">
        <f t="shared" si="107"/>
        <v>0</v>
      </c>
      <c r="M135" s="13">
        <f t="shared" si="107"/>
        <v>0</v>
      </c>
      <c r="N135" s="13">
        <f t="shared" si="107"/>
        <v>0</v>
      </c>
      <c r="O135" s="40"/>
      <c r="P135" s="40"/>
      <c r="Q135" s="40"/>
      <c r="R135" s="18"/>
      <c r="S135" s="18"/>
      <c r="T135" s="18"/>
      <c r="U135" s="18"/>
      <c r="V135" s="24">
        <f>+SUM(V129:V134)</f>
        <v>0</v>
      </c>
      <c r="W135" s="24">
        <f t="shared" ref="W135:AC135" si="108">+SUM(W129:W134)</f>
        <v>0</v>
      </c>
      <c r="X135" s="24">
        <f t="shared" si="108"/>
        <v>0</v>
      </c>
      <c r="Y135" s="24">
        <f t="shared" si="108"/>
        <v>0</v>
      </c>
      <c r="Z135" s="24">
        <f t="shared" si="108"/>
        <v>0</v>
      </c>
      <c r="AA135" s="24">
        <f t="shared" si="108"/>
        <v>0</v>
      </c>
      <c r="AB135" s="24">
        <f t="shared" si="108"/>
        <v>0</v>
      </c>
      <c r="AC135" s="24">
        <f t="shared" si="108"/>
        <v>0</v>
      </c>
      <c r="AD135" s="315"/>
      <c r="AE135" s="315"/>
      <c r="AF135" s="315"/>
      <c r="AG135" s="315"/>
      <c r="AH135" s="315"/>
      <c r="AI135" s="315"/>
      <c r="AJ135" s="315"/>
      <c r="AK135" s="315"/>
      <c r="AL135" s="315"/>
      <c r="AM135" s="315"/>
      <c r="AN135" s="315"/>
      <c r="AO135" s="315"/>
      <c r="AP135" s="315"/>
      <c r="AQ135" s="315"/>
      <c r="AR135" s="315"/>
      <c r="AS135" s="315"/>
      <c r="AT135" s="315"/>
      <c r="AU135" s="315"/>
      <c r="AV135" s="315"/>
      <c r="AW135" s="315"/>
      <c r="AX135" s="315"/>
      <c r="AY135" s="315"/>
      <c r="AZ135" s="315"/>
      <c r="BA135" s="315"/>
      <c r="BB135" s="83" t="s">
        <v>75</v>
      </c>
    </row>
    <row r="136" spans="2:54" s="25" customFormat="1" x14ac:dyDescent="0.2">
      <c r="B136" s="26" t="s">
        <v>141</v>
      </c>
      <c r="C136" s="45" t="s">
        <v>177</v>
      </c>
      <c r="D136" s="26"/>
      <c r="E136" s="26"/>
      <c r="F136" s="26"/>
      <c r="G136" s="42" t="str">
        <f>+IFERROR(G135/G129,"NM")</f>
        <v>NM</v>
      </c>
      <c r="H136" s="42" t="str">
        <f>+IFERROR(H135/H129,"NM")</f>
        <v>NM</v>
      </c>
      <c r="I136" s="42" t="str">
        <f t="shared" ref="I136:N136" ca="1" si="109">+IFERROR(I135/I129,"NM")</f>
        <v>NM</v>
      </c>
      <c r="J136" s="42" t="str">
        <f t="shared" ca="1" si="109"/>
        <v>NM</v>
      </c>
      <c r="K136" s="42" t="str">
        <f t="shared" ca="1" si="109"/>
        <v>NM</v>
      </c>
      <c r="L136" s="42" t="str">
        <f t="shared" ca="1" si="109"/>
        <v>NM</v>
      </c>
      <c r="M136" s="42" t="str">
        <f t="shared" ca="1" si="109"/>
        <v>NM</v>
      </c>
      <c r="N136" s="42" t="str">
        <f t="shared" ca="1" si="109"/>
        <v>NM</v>
      </c>
      <c r="O136" s="41"/>
      <c r="P136" s="41"/>
      <c r="Q136" s="41"/>
      <c r="R136" s="26"/>
      <c r="S136" s="26"/>
      <c r="T136" s="26"/>
      <c r="U136" s="26"/>
      <c r="V136" s="42" t="str">
        <f>+IFERROR(V135/V129,"NM")</f>
        <v>NM</v>
      </c>
      <c r="W136" s="42" t="str">
        <f t="shared" ref="W136:AC136" si="110">+IFERROR(W135/W129,"NM")</f>
        <v>NM</v>
      </c>
      <c r="X136" s="42" t="str">
        <f t="shared" si="110"/>
        <v>NM</v>
      </c>
      <c r="Y136" s="42" t="str">
        <f t="shared" si="110"/>
        <v>NM</v>
      </c>
      <c r="Z136" s="42" t="str">
        <f t="shared" si="110"/>
        <v>NM</v>
      </c>
      <c r="AA136" s="42" t="str">
        <f t="shared" si="110"/>
        <v>NM</v>
      </c>
      <c r="AB136" s="42" t="str">
        <f t="shared" si="110"/>
        <v>NM</v>
      </c>
      <c r="AC136" s="42" t="str">
        <f t="shared" si="110"/>
        <v>NM</v>
      </c>
      <c r="AD136" s="316"/>
      <c r="AE136" s="316"/>
      <c r="AF136" s="316"/>
      <c r="AG136" s="316"/>
      <c r="AH136" s="316"/>
      <c r="AI136" s="316"/>
      <c r="AJ136" s="316"/>
      <c r="AK136" s="316"/>
      <c r="AL136" s="316"/>
      <c r="AM136" s="316"/>
      <c r="AN136" s="316"/>
      <c r="AO136" s="316"/>
      <c r="AP136" s="316"/>
      <c r="AQ136" s="316"/>
      <c r="AR136" s="316"/>
      <c r="AS136" s="316"/>
      <c r="AT136" s="316"/>
      <c r="AU136" s="316"/>
      <c r="AV136" s="316"/>
      <c r="AW136" s="316"/>
      <c r="AX136" s="316"/>
      <c r="AY136" s="316"/>
      <c r="AZ136" s="316"/>
      <c r="BA136" s="316"/>
      <c r="BB136" s="88" t="s">
        <v>75</v>
      </c>
    </row>
    <row r="137" spans="2:54" x14ac:dyDescent="0.2">
      <c r="B137" s="1" t="s">
        <v>142</v>
      </c>
      <c r="C137" s="45" t="s">
        <v>187</v>
      </c>
      <c r="G137" s="11">
        <f t="shared" ref="G137:N138" si="111">+SUMIFS(137:137,$6:$6,G$3)</f>
        <v>0</v>
      </c>
      <c r="H137" s="11">
        <f t="shared" si="111"/>
        <v>0</v>
      </c>
      <c r="I137" s="11">
        <f t="shared" si="111"/>
        <v>0</v>
      </c>
      <c r="J137" s="11">
        <f t="shared" si="111"/>
        <v>0</v>
      </c>
      <c r="K137" s="11">
        <f t="shared" si="111"/>
        <v>0</v>
      </c>
      <c r="L137" s="11">
        <f t="shared" si="111"/>
        <v>0</v>
      </c>
      <c r="M137" s="11">
        <f t="shared" si="111"/>
        <v>0</v>
      </c>
      <c r="N137" s="11">
        <f t="shared" si="111"/>
        <v>0</v>
      </c>
      <c r="O137" s="21"/>
      <c r="P137" s="21"/>
      <c r="Q137" s="21"/>
      <c r="V137" s="12">
        <v>0</v>
      </c>
      <c r="W137" s="12">
        <v>0</v>
      </c>
      <c r="X137" s="12">
        <v>0</v>
      </c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56"/>
      <c r="AE137" s="156"/>
      <c r="AF137" s="156"/>
      <c r="AG137" s="156"/>
      <c r="AH137" s="156"/>
      <c r="AI137" s="156"/>
      <c r="AJ137" s="156"/>
      <c r="AK137" s="156"/>
      <c r="AL137" s="156"/>
      <c r="AM137" s="156"/>
      <c r="AN137" s="156"/>
      <c r="AO137" s="156"/>
      <c r="AP137" s="156"/>
      <c r="AQ137" s="156"/>
      <c r="AR137" s="156"/>
      <c r="AS137" s="156"/>
      <c r="AT137" s="156"/>
      <c r="AU137" s="156"/>
      <c r="AV137" s="156"/>
      <c r="AW137" s="156"/>
      <c r="AX137" s="156"/>
      <c r="AY137" s="156"/>
      <c r="AZ137" s="156"/>
      <c r="BA137" s="156"/>
      <c r="BB137" s="8" t="s">
        <v>75</v>
      </c>
    </row>
    <row r="138" spans="2:54" s="2" customFormat="1" x14ac:dyDescent="0.2">
      <c r="B138" s="18" t="s">
        <v>4</v>
      </c>
      <c r="C138" s="45" t="s">
        <v>187</v>
      </c>
      <c r="D138" s="1"/>
      <c r="E138" s="18"/>
      <c r="F138" s="18"/>
      <c r="G138" s="13">
        <f t="shared" si="111"/>
        <v>0</v>
      </c>
      <c r="H138" s="13">
        <f t="shared" si="111"/>
        <v>0</v>
      </c>
      <c r="I138" s="13">
        <f t="shared" ca="1" si="111"/>
        <v>0</v>
      </c>
      <c r="J138" s="13">
        <f t="shared" ca="1" si="111"/>
        <v>0</v>
      </c>
      <c r="K138" s="13">
        <f t="shared" ca="1" si="111"/>
        <v>0</v>
      </c>
      <c r="L138" s="13">
        <f t="shared" ca="1" si="111"/>
        <v>0</v>
      </c>
      <c r="M138" s="13">
        <f t="shared" ca="1" si="111"/>
        <v>0</v>
      </c>
      <c r="N138" s="13">
        <f t="shared" ca="1" si="111"/>
        <v>0</v>
      </c>
      <c r="O138" s="40"/>
      <c r="P138" s="131" t="str">
        <f ca="1">+IFERROR((N138/I138)^(1/5)-1,"NM")</f>
        <v>NM</v>
      </c>
      <c r="Q138" s="40"/>
      <c r="R138" s="18"/>
      <c r="S138" s="18"/>
      <c r="T138" s="18"/>
      <c r="U138" s="18"/>
      <c r="V138" s="24">
        <f>+V137+V135</f>
        <v>0</v>
      </c>
      <c r="W138" s="24">
        <f t="shared" ref="W138:AC138" si="112">+W137+W135</f>
        <v>0</v>
      </c>
      <c r="X138" s="24">
        <f t="shared" si="112"/>
        <v>0</v>
      </c>
      <c r="Y138" s="24">
        <f t="shared" si="112"/>
        <v>0</v>
      </c>
      <c r="Z138" s="24">
        <f t="shared" si="112"/>
        <v>0</v>
      </c>
      <c r="AA138" s="24">
        <f t="shared" si="112"/>
        <v>0</v>
      </c>
      <c r="AB138" s="24">
        <f t="shared" si="112"/>
        <v>0</v>
      </c>
      <c r="AC138" s="24">
        <f t="shared" si="112"/>
        <v>0</v>
      </c>
      <c r="AD138" s="148">
        <f ca="1">+SUMIFS(Growth!35:35,Growth!$3:$3,Segments!AD$3)</f>
        <v>0</v>
      </c>
      <c r="AE138" s="148">
        <f ca="1">+SUMIFS(Growth!35:35,Growth!$3:$3,Segments!AE$3)</f>
        <v>0</v>
      </c>
      <c r="AF138" s="148">
        <f ca="1">+SUMIFS(Growth!35:35,Growth!$3:$3,Segments!AF$3)</f>
        <v>0</v>
      </c>
      <c r="AG138" s="148">
        <f ca="1">+SUMIFS(Growth!35:35,Growth!$3:$3,Segments!AG$3)</f>
        <v>0</v>
      </c>
      <c r="AH138" s="148">
        <f ca="1">+SUMIFS(Growth!35:35,Growth!$3:$3,Segments!AH$3)</f>
        <v>0</v>
      </c>
      <c r="AI138" s="148">
        <f ca="1">+SUMIFS(Growth!35:35,Growth!$3:$3,Segments!AI$3)</f>
        <v>0</v>
      </c>
      <c r="AJ138" s="148">
        <f ca="1">+SUMIFS(Growth!35:35,Growth!$3:$3,Segments!AJ$3)</f>
        <v>0</v>
      </c>
      <c r="AK138" s="148">
        <f ca="1">+SUMIFS(Growth!35:35,Growth!$3:$3,Segments!AK$3)</f>
        <v>0</v>
      </c>
      <c r="AL138" s="148">
        <f ca="1">+SUMIFS(Growth!35:35,Growth!$3:$3,Segments!AL$3)</f>
        <v>0</v>
      </c>
      <c r="AM138" s="148">
        <f ca="1">+SUMIFS(Growth!35:35,Growth!$3:$3,Segments!AM$3)</f>
        <v>0</v>
      </c>
      <c r="AN138" s="148">
        <f ca="1">+SUMIFS(Growth!35:35,Growth!$3:$3,Segments!AN$3)</f>
        <v>0</v>
      </c>
      <c r="AO138" s="148">
        <f ca="1">+SUMIFS(Growth!35:35,Growth!$3:$3,Segments!AO$3)</f>
        <v>0</v>
      </c>
      <c r="AP138" s="148">
        <f ca="1">+SUMIFS(Growth!35:35,Growth!$3:$3,Segments!AP$3)</f>
        <v>0</v>
      </c>
      <c r="AQ138" s="148">
        <f ca="1">+SUMIFS(Growth!35:35,Growth!$3:$3,Segments!AQ$3)</f>
        <v>0</v>
      </c>
      <c r="AR138" s="148">
        <f ca="1">+SUMIFS(Growth!35:35,Growth!$3:$3,Segments!AR$3)</f>
        <v>0</v>
      </c>
      <c r="AS138" s="148">
        <f ca="1">+SUMIFS(Growth!35:35,Growth!$3:$3,Segments!AS$3)</f>
        <v>0</v>
      </c>
      <c r="AT138" s="148">
        <f ca="1">+SUMIFS(Growth!35:35,Growth!$3:$3,Segments!AT$3)</f>
        <v>0</v>
      </c>
      <c r="AU138" s="148">
        <f ca="1">+SUMIFS(Growth!35:35,Growth!$3:$3,Segments!AU$3)</f>
        <v>0</v>
      </c>
      <c r="AV138" s="148">
        <f ca="1">+SUMIFS(Growth!35:35,Growth!$3:$3,Segments!AV$3)</f>
        <v>0</v>
      </c>
      <c r="AW138" s="148">
        <f ca="1">+SUMIFS(Growth!35:35,Growth!$3:$3,Segments!AW$3)</f>
        <v>0</v>
      </c>
      <c r="AX138" s="148">
        <f ca="1">+SUMIFS(Growth!35:35,Growth!$3:$3,Segments!AX$3)</f>
        <v>0</v>
      </c>
      <c r="AY138" s="148">
        <f ca="1">+SUMIFS(Growth!35:35,Growth!$3:$3,Segments!AY$3)</f>
        <v>0</v>
      </c>
      <c r="AZ138" s="148">
        <f ca="1">+SUMIFS(Growth!35:35,Growth!$3:$3,Segments!AZ$3)</f>
        <v>0</v>
      </c>
      <c r="BA138" s="148">
        <f ca="1">+SUMIFS(Growth!35:35,Growth!$3:$3,Segments!BA$3)</f>
        <v>0</v>
      </c>
      <c r="BB138" s="83" t="s">
        <v>75</v>
      </c>
    </row>
    <row r="139" spans="2:54" s="25" customFormat="1" x14ac:dyDescent="0.2">
      <c r="B139" s="26" t="s">
        <v>141</v>
      </c>
      <c r="C139" s="45" t="s">
        <v>177</v>
      </c>
      <c r="D139" s="26"/>
      <c r="E139" s="26"/>
      <c r="F139" s="26"/>
      <c r="G139" s="42" t="str">
        <f>+IFERROR(G138/G129,"NM")</f>
        <v>NM</v>
      </c>
      <c r="H139" s="42" t="str">
        <f>+IFERROR(H138/H129,"NM")</f>
        <v>NM</v>
      </c>
      <c r="I139" s="42" t="str">
        <f t="shared" ref="I139:N139" ca="1" si="113">+IFERROR(I138/I129,"NM")</f>
        <v>NM</v>
      </c>
      <c r="J139" s="42" t="str">
        <f t="shared" ca="1" si="113"/>
        <v>NM</v>
      </c>
      <c r="K139" s="42" t="str">
        <f t="shared" ca="1" si="113"/>
        <v>NM</v>
      </c>
      <c r="L139" s="42" t="str">
        <f t="shared" ca="1" si="113"/>
        <v>NM</v>
      </c>
      <c r="M139" s="42" t="str">
        <f t="shared" ca="1" si="113"/>
        <v>NM</v>
      </c>
      <c r="N139" s="42" t="str">
        <f t="shared" ca="1" si="113"/>
        <v>NM</v>
      </c>
      <c r="O139" s="41"/>
      <c r="P139" s="41"/>
      <c r="Q139" s="41"/>
      <c r="R139" s="26"/>
      <c r="S139" s="26"/>
      <c r="T139" s="26"/>
      <c r="U139" s="26"/>
      <c r="V139" s="42" t="str">
        <f>+IFERROR(V138/V129,"NM")</f>
        <v>NM</v>
      </c>
      <c r="W139" s="42" t="str">
        <f t="shared" ref="W139:AC139" si="114">+IFERROR(W138/W129,"NM")</f>
        <v>NM</v>
      </c>
      <c r="X139" s="42" t="str">
        <f t="shared" si="114"/>
        <v>NM</v>
      </c>
      <c r="Y139" s="42" t="str">
        <f t="shared" si="114"/>
        <v>NM</v>
      </c>
      <c r="Z139" s="42" t="str">
        <f t="shared" si="114"/>
        <v>NM</v>
      </c>
      <c r="AA139" s="42" t="str">
        <f t="shared" si="114"/>
        <v>NM</v>
      </c>
      <c r="AB139" s="42" t="str">
        <f t="shared" si="114"/>
        <v>NM</v>
      </c>
      <c r="AC139" s="42" t="str">
        <f t="shared" si="114"/>
        <v>NM</v>
      </c>
      <c r="BB139" s="88" t="s">
        <v>75</v>
      </c>
    </row>
  </sheetData>
  <conditionalFormatting sqref="C1">
    <cfRule type="cellIs" dxfId="25" priority="2" operator="equal">
      <formula>"OK"</formula>
    </cfRule>
  </conditionalFormatting>
  <conditionalFormatting sqref="C1">
    <cfRule type="cellIs" dxfId="24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1EB5-6D63-42CB-9508-7B62E3D2AA8C}">
  <sheetPr>
    <tabColor theme="5" tint="0.39997558519241921"/>
  </sheetPr>
  <dimension ref="A1:BB119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 customWidth="1"/>
    <col min="5" max="6" width="9.140625" style="1" customWidth="1" outlineLevel="1"/>
    <col min="7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outlineLevel="1"/>
    <col min="22" max="53" width="9.140625" style="1"/>
    <col min="54" max="54" width="3.42578125" style="1" customWidth="1"/>
    <col min="55" max="16384" width="9.140625" style="1"/>
  </cols>
  <sheetData>
    <row r="1" spans="1:54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4" s="5" customFormat="1" ht="16.5" x14ac:dyDescent="0.3">
      <c r="A2" s="6" t="s">
        <v>309</v>
      </c>
      <c r="D2" s="211">
        <f ca="1">+Ctrl!G10</f>
        <v>0.32102203236261162</v>
      </c>
    </row>
    <row r="3" spans="1:54" x14ac:dyDescent="0.2">
      <c r="A3" s="1" t="s">
        <v>1</v>
      </c>
      <c r="E3" s="9">
        <v>2017</v>
      </c>
      <c r="F3" s="8">
        <f t="shared" ref="F3:N3" si="0">+E3+1</f>
        <v>2018</v>
      </c>
      <c r="G3" s="8">
        <f t="shared" si="0"/>
        <v>2019</v>
      </c>
      <c r="H3" s="8">
        <f t="shared" si="0"/>
        <v>2020</v>
      </c>
      <c r="I3" s="8">
        <f t="shared" si="0"/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BA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si="1"/>
        <v>1Q21</v>
      </c>
      <c r="AE3" s="8" t="str">
        <f t="shared" si="1"/>
        <v>2Q21</v>
      </c>
      <c r="AF3" s="8" t="str">
        <f t="shared" si="1"/>
        <v>3Q21</v>
      </c>
      <c r="AG3" s="8" t="str">
        <f t="shared" si="1"/>
        <v>4Q21</v>
      </c>
      <c r="AH3" s="8" t="str">
        <f t="shared" si="1"/>
        <v>1Q22</v>
      </c>
      <c r="AI3" s="8" t="str">
        <f t="shared" si="1"/>
        <v>2Q22</v>
      </c>
      <c r="AJ3" s="8" t="str">
        <f t="shared" si="1"/>
        <v>3Q22</v>
      </c>
      <c r="AK3" s="8" t="str">
        <f t="shared" si="1"/>
        <v>4Q22</v>
      </c>
      <c r="AL3" s="8" t="str">
        <f t="shared" si="1"/>
        <v>1Q23</v>
      </c>
      <c r="AM3" s="8" t="str">
        <f t="shared" si="1"/>
        <v>2Q23</v>
      </c>
      <c r="AN3" s="8" t="str">
        <f t="shared" si="1"/>
        <v>3Q23</v>
      </c>
      <c r="AO3" s="8" t="str">
        <f t="shared" si="1"/>
        <v>4Q23</v>
      </c>
      <c r="AP3" s="8" t="str">
        <f t="shared" si="1"/>
        <v>1Q24</v>
      </c>
      <c r="AQ3" s="8" t="str">
        <f t="shared" si="1"/>
        <v>2Q24</v>
      </c>
      <c r="AR3" s="8" t="str">
        <f t="shared" si="1"/>
        <v>3Q24</v>
      </c>
      <c r="AS3" s="8" t="str">
        <f t="shared" si="1"/>
        <v>4Q24</v>
      </c>
      <c r="AT3" s="8" t="str">
        <f t="shared" si="1"/>
        <v>1Q25</v>
      </c>
      <c r="AU3" s="8" t="str">
        <f t="shared" si="1"/>
        <v>2Q25</v>
      </c>
      <c r="AV3" s="8" t="str">
        <f t="shared" si="1"/>
        <v>3Q25</v>
      </c>
      <c r="AW3" s="8" t="str">
        <f t="shared" si="1"/>
        <v>4Q25</v>
      </c>
      <c r="AX3" s="8" t="str">
        <f t="shared" si="1"/>
        <v>1Q26</v>
      </c>
      <c r="AY3" s="8" t="str">
        <f t="shared" si="1"/>
        <v>2Q26</v>
      </c>
      <c r="AZ3" s="8" t="str">
        <f t="shared" si="1"/>
        <v>3Q26</v>
      </c>
      <c r="BA3" s="8" t="str">
        <f t="shared" si="1"/>
        <v>4Q26</v>
      </c>
      <c r="BB3" s="8" t="s">
        <v>75</v>
      </c>
    </row>
    <row r="4" spans="1:54" hidden="1" outlineLevel="1" x14ac:dyDescent="0.2">
      <c r="A4" s="1" t="s">
        <v>2</v>
      </c>
      <c r="E4" s="10">
        <v>42736</v>
      </c>
      <c r="F4" s="7">
        <f t="shared" ref="F4:N4" si="2">+E5+1</f>
        <v>43101</v>
      </c>
      <c r="G4" s="7">
        <f t="shared" si="2"/>
        <v>43466</v>
      </c>
      <c r="H4" s="7">
        <f t="shared" si="2"/>
        <v>43831</v>
      </c>
      <c r="I4" s="7">
        <f t="shared" si="2"/>
        <v>44197</v>
      </c>
      <c r="J4" s="7">
        <f t="shared" si="2"/>
        <v>44562</v>
      </c>
      <c r="K4" s="7">
        <f t="shared" si="2"/>
        <v>44927</v>
      </c>
      <c r="L4" s="7">
        <f t="shared" si="2"/>
        <v>45292</v>
      </c>
      <c r="M4" s="7">
        <f t="shared" si="2"/>
        <v>45658</v>
      </c>
      <c r="N4" s="7">
        <f t="shared" si="2"/>
        <v>46023</v>
      </c>
      <c r="R4" s="10">
        <v>43101</v>
      </c>
      <c r="S4" s="7">
        <f t="shared" ref="S4:BA4" si="3">+R5+1</f>
        <v>43191</v>
      </c>
      <c r="T4" s="7">
        <f t="shared" si="3"/>
        <v>43282</v>
      </c>
      <c r="U4" s="7">
        <f t="shared" si="3"/>
        <v>43374</v>
      </c>
      <c r="V4" s="7">
        <f t="shared" si="3"/>
        <v>43466</v>
      </c>
      <c r="W4" s="7">
        <f t="shared" si="3"/>
        <v>43556</v>
      </c>
      <c r="X4" s="7">
        <f t="shared" si="3"/>
        <v>43647</v>
      </c>
      <c r="Y4" s="7">
        <f t="shared" si="3"/>
        <v>43739</v>
      </c>
      <c r="Z4" s="7">
        <f t="shared" si="3"/>
        <v>43831</v>
      </c>
      <c r="AA4" s="7">
        <f t="shared" si="3"/>
        <v>43922</v>
      </c>
      <c r="AB4" s="7">
        <f t="shared" si="3"/>
        <v>44013</v>
      </c>
      <c r="AC4" s="7">
        <f t="shared" si="3"/>
        <v>44105</v>
      </c>
      <c r="AD4" s="7">
        <f t="shared" si="3"/>
        <v>44197</v>
      </c>
      <c r="AE4" s="7">
        <f t="shared" si="3"/>
        <v>44287</v>
      </c>
      <c r="AF4" s="7">
        <f t="shared" si="3"/>
        <v>44378</v>
      </c>
      <c r="AG4" s="7">
        <f t="shared" si="3"/>
        <v>44470</v>
      </c>
      <c r="AH4" s="7">
        <f t="shared" si="3"/>
        <v>44562</v>
      </c>
      <c r="AI4" s="7">
        <f t="shared" si="3"/>
        <v>44652</v>
      </c>
      <c r="AJ4" s="7">
        <f t="shared" si="3"/>
        <v>44743</v>
      </c>
      <c r="AK4" s="7">
        <f t="shared" si="3"/>
        <v>44835</v>
      </c>
      <c r="AL4" s="7">
        <f t="shared" si="3"/>
        <v>44927</v>
      </c>
      <c r="AM4" s="7">
        <f t="shared" si="3"/>
        <v>45017</v>
      </c>
      <c r="AN4" s="7">
        <f t="shared" si="3"/>
        <v>45108</v>
      </c>
      <c r="AO4" s="7">
        <f t="shared" si="3"/>
        <v>45200</v>
      </c>
      <c r="AP4" s="7">
        <f t="shared" si="3"/>
        <v>45292</v>
      </c>
      <c r="AQ4" s="7">
        <f t="shared" si="3"/>
        <v>45383</v>
      </c>
      <c r="AR4" s="7">
        <f t="shared" si="3"/>
        <v>45474</v>
      </c>
      <c r="AS4" s="7">
        <f t="shared" si="3"/>
        <v>45566</v>
      </c>
      <c r="AT4" s="7">
        <f t="shared" si="3"/>
        <v>45658</v>
      </c>
      <c r="AU4" s="7">
        <f t="shared" si="3"/>
        <v>45748</v>
      </c>
      <c r="AV4" s="7">
        <f t="shared" si="3"/>
        <v>45839</v>
      </c>
      <c r="AW4" s="7">
        <f t="shared" si="3"/>
        <v>45931</v>
      </c>
      <c r="AX4" s="7">
        <f t="shared" si="3"/>
        <v>46023</v>
      </c>
      <c r="AY4" s="7">
        <f t="shared" si="3"/>
        <v>46113</v>
      </c>
      <c r="AZ4" s="7">
        <f t="shared" si="3"/>
        <v>46204</v>
      </c>
      <c r="BA4" s="7">
        <f t="shared" si="3"/>
        <v>46296</v>
      </c>
      <c r="BB4" s="8" t="s">
        <v>75</v>
      </c>
    </row>
    <row r="5" spans="1:54" hidden="1" outlineLevel="1" x14ac:dyDescent="0.2">
      <c r="A5" s="1" t="s">
        <v>3</v>
      </c>
      <c r="E5" s="7">
        <f t="shared" ref="E5:N5" si="4">+EOMONTH(E4,11)</f>
        <v>43100</v>
      </c>
      <c r="F5" s="7">
        <f t="shared" si="4"/>
        <v>43465</v>
      </c>
      <c r="G5" s="7">
        <f t="shared" si="4"/>
        <v>43830</v>
      </c>
      <c r="H5" s="7">
        <f t="shared" si="4"/>
        <v>44196</v>
      </c>
      <c r="I5" s="7">
        <f t="shared" si="4"/>
        <v>44561</v>
      </c>
      <c r="J5" s="7">
        <f t="shared" si="4"/>
        <v>44926</v>
      </c>
      <c r="K5" s="7">
        <f t="shared" si="4"/>
        <v>45291</v>
      </c>
      <c r="L5" s="7">
        <f t="shared" si="4"/>
        <v>45657</v>
      </c>
      <c r="M5" s="7">
        <f t="shared" si="4"/>
        <v>46022</v>
      </c>
      <c r="N5" s="7">
        <f t="shared" si="4"/>
        <v>46387</v>
      </c>
      <c r="R5" s="7">
        <f t="shared" ref="R5:AC5" si="5">+EOMONTH(R4,2)</f>
        <v>43190</v>
      </c>
      <c r="S5" s="7">
        <f t="shared" si="5"/>
        <v>43281</v>
      </c>
      <c r="T5" s="7">
        <f t="shared" si="5"/>
        <v>43373</v>
      </c>
      <c r="U5" s="7">
        <f t="shared" si="5"/>
        <v>43465</v>
      </c>
      <c r="V5" s="7">
        <f t="shared" si="5"/>
        <v>43555</v>
      </c>
      <c r="W5" s="7">
        <f t="shared" si="5"/>
        <v>43646</v>
      </c>
      <c r="X5" s="7">
        <f t="shared" si="5"/>
        <v>43738</v>
      </c>
      <c r="Y5" s="7">
        <f t="shared" si="5"/>
        <v>43830</v>
      </c>
      <c r="Z5" s="7">
        <f t="shared" si="5"/>
        <v>43921</v>
      </c>
      <c r="AA5" s="7">
        <f t="shared" si="5"/>
        <v>44012</v>
      </c>
      <c r="AB5" s="7">
        <f t="shared" si="5"/>
        <v>44104</v>
      </c>
      <c r="AC5" s="7">
        <f t="shared" si="5"/>
        <v>44196</v>
      </c>
      <c r="AD5" s="7">
        <f t="shared" ref="AD5:BA5" si="6">+EOMONTH(AD4,2)</f>
        <v>44286</v>
      </c>
      <c r="AE5" s="7">
        <f t="shared" si="6"/>
        <v>44377</v>
      </c>
      <c r="AF5" s="7">
        <f t="shared" si="6"/>
        <v>44469</v>
      </c>
      <c r="AG5" s="7">
        <f t="shared" si="6"/>
        <v>44561</v>
      </c>
      <c r="AH5" s="7">
        <f t="shared" si="6"/>
        <v>44651</v>
      </c>
      <c r="AI5" s="7">
        <f t="shared" si="6"/>
        <v>44742</v>
      </c>
      <c r="AJ5" s="7">
        <f t="shared" si="6"/>
        <v>44834</v>
      </c>
      <c r="AK5" s="7">
        <f t="shared" si="6"/>
        <v>44926</v>
      </c>
      <c r="AL5" s="7">
        <f t="shared" si="6"/>
        <v>45016</v>
      </c>
      <c r="AM5" s="7">
        <f t="shared" si="6"/>
        <v>45107</v>
      </c>
      <c r="AN5" s="7">
        <f t="shared" si="6"/>
        <v>45199</v>
      </c>
      <c r="AO5" s="7">
        <f t="shared" si="6"/>
        <v>45291</v>
      </c>
      <c r="AP5" s="7">
        <f t="shared" si="6"/>
        <v>45382</v>
      </c>
      <c r="AQ5" s="7">
        <f t="shared" si="6"/>
        <v>45473</v>
      </c>
      <c r="AR5" s="7">
        <f t="shared" si="6"/>
        <v>45565</v>
      </c>
      <c r="AS5" s="7">
        <f t="shared" si="6"/>
        <v>45657</v>
      </c>
      <c r="AT5" s="7">
        <f t="shared" si="6"/>
        <v>45747</v>
      </c>
      <c r="AU5" s="7">
        <f t="shared" si="6"/>
        <v>45838</v>
      </c>
      <c r="AV5" s="7">
        <f t="shared" si="6"/>
        <v>45930</v>
      </c>
      <c r="AW5" s="7">
        <f t="shared" si="6"/>
        <v>46022</v>
      </c>
      <c r="AX5" s="7">
        <f t="shared" si="6"/>
        <v>46112</v>
      </c>
      <c r="AY5" s="7">
        <f t="shared" si="6"/>
        <v>46203</v>
      </c>
      <c r="AZ5" s="7">
        <f t="shared" si="6"/>
        <v>46295</v>
      </c>
      <c r="BA5" s="7">
        <f t="shared" si="6"/>
        <v>46387</v>
      </c>
      <c r="BB5" s="8" t="s">
        <v>75</v>
      </c>
    </row>
    <row r="6" spans="1:54" hidden="1" outlineLevel="1" x14ac:dyDescent="0.2">
      <c r="A6" s="1" t="s">
        <v>0</v>
      </c>
      <c r="R6" s="1">
        <f t="shared" ref="R6:AC6" si="7">+YEAR(R5)</f>
        <v>2018</v>
      </c>
      <c r="S6" s="1">
        <f t="shared" si="7"/>
        <v>2018</v>
      </c>
      <c r="T6" s="1">
        <f t="shared" si="7"/>
        <v>2018</v>
      </c>
      <c r="U6" s="1">
        <f t="shared" si="7"/>
        <v>2018</v>
      </c>
      <c r="V6" s="1">
        <f t="shared" si="7"/>
        <v>2019</v>
      </c>
      <c r="W6" s="1">
        <f t="shared" si="7"/>
        <v>2019</v>
      </c>
      <c r="X6" s="1">
        <f t="shared" si="7"/>
        <v>2019</v>
      </c>
      <c r="Y6" s="1">
        <f t="shared" si="7"/>
        <v>2019</v>
      </c>
      <c r="Z6" s="1">
        <f t="shared" si="7"/>
        <v>2020</v>
      </c>
      <c r="AA6" s="1">
        <f t="shared" si="7"/>
        <v>2020</v>
      </c>
      <c r="AB6" s="1">
        <f t="shared" si="7"/>
        <v>2020</v>
      </c>
      <c r="AC6" s="1">
        <f t="shared" si="7"/>
        <v>2020</v>
      </c>
      <c r="AD6" s="1">
        <f t="shared" ref="AD6:BA6" si="8">+YEAR(AD5)</f>
        <v>2021</v>
      </c>
      <c r="AE6" s="1">
        <f t="shared" si="8"/>
        <v>2021</v>
      </c>
      <c r="AF6" s="1">
        <f t="shared" si="8"/>
        <v>2021</v>
      </c>
      <c r="AG6" s="1">
        <f t="shared" si="8"/>
        <v>2021</v>
      </c>
      <c r="AH6" s="1">
        <f t="shared" si="8"/>
        <v>2022</v>
      </c>
      <c r="AI6" s="1">
        <f t="shared" si="8"/>
        <v>2022</v>
      </c>
      <c r="AJ6" s="1">
        <f t="shared" si="8"/>
        <v>2022</v>
      </c>
      <c r="AK6" s="1">
        <f t="shared" si="8"/>
        <v>2022</v>
      </c>
      <c r="AL6" s="1">
        <f t="shared" si="8"/>
        <v>2023</v>
      </c>
      <c r="AM6" s="1">
        <f t="shared" si="8"/>
        <v>2023</v>
      </c>
      <c r="AN6" s="1">
        <f t="shared" si="8"/>
        <v>2023</v>
      </c>
      <c r="AO6" s="1">
        <f t="shared" si="8"/>
        <v>2023</v>
      </c>
      <c r="AP6" s="1">
        <f t="shared" si="8"/>
        <v>2024</v>
      </c>
      <c r="AQ6" s="1">
        <f t="shared" si="8"/>
        <v>2024</v>
      </c>
      <c r="AR6" s="1">
        <f t="shared" si="8"/>
        <v>2024</v>
      </c>
      <c r="AS6" s="1">
        <f t="shared" si="8"/>
        <v>2024</v>
      </c>
      <c r="AT6" s="1">
        <f t="shared" si="8"/>
        <v>2025</v>
      </c>
      <c r="AU6" s="1">
        <f t="shared" si="8"/>
        <v>2025</v>
      </c>
      <c r="AV6" s="1">
        <f t="shared" si="8"/>
        <v>2025</v>
      </c>
      <c r="AW6" s="1">
        <f t="shared" si="8"/>
        <v>2025</v>
      </c>
      <c r="AX6" s="1">
        <f t="shared" si="8"/>
        <v>2026</v>
      </c>
      <c r="AY6" s="1">
        <f t="shared" si="8"/>
        <v>2026</v>
      </c>
      <c r="AZ6" s="1">
        <f t="shared" si="8"/>
        <v>2026</v>
      </c>
      <c r="BA6" s="1">
        <f t="shared" si="8"/>
        <v>2026</v>
      </c>
      <c r="BB6" s="8" t="s">
        <v>75</v>
      </c>
    </row>
    <row r="7" spans="1:54" s="3" customFormat="1" collapsed="1" x14ac:dyDescent="0.2">
      <c r="A7" s="17" t="s">
        <v>75</v>
      </c>
      <c r="B7" s="3" t="s">
        <v>182</v>
      </c>
      <c r="BB7" s="117" t="s">
        <v>75</v>
      </c>
    </row>
    <row r="8" spans="1:54" x14ac:dyDescent="0.2">
      <c r="B8" s="1" t="s">
        <v>183</v>
      </c>
      <c r="C8" s="45" t="s">
        <v>200</v>
      </c>
      <c r="E8" s="63"/>
      <c r="F8" s="63"/>
      <c r="G8" s="63"/>
      <c r="H8" s="63"/>
      <c r="I8" s="63"/>
      <c r="J8" s="63"/>
      <c r="R8" s="101">
        <f ca="1">+SUMIFS(FX!8:8,FX!$3:$3,R$3)</f>
        <v>3.3062999999999998</v>
      </c>
      <c r="S8" s="101">
        <f ca="1">+SUMIFS(FX!8:8,FX!$3:$3,S$3)</f>
        <v>3.8765000000000001</v>
      </c>
      <c r="T8" s="101">
        <f ca="1">+SUMIFS(FX!8:8,FX!$3:$3,T$3)</f>
        <v>4.0492999999999997</v>
      </c>
      <c r="U8" s="101">
        <f ca="1">+SUMIFS(FX!8:8,FX!$3:$3,U$3)</f>
        <v>3.8744999999999998</v>
      </c>
      <c r="V8" s="101">
        <f ca="1">+SUMIFS(FX!8:8,FX!$3:$3,V$3)</f>
        <v>3.9205000000000001</v>
      </c>
      <c r="W8" s="101">
        <f ca="1">+SUMIFS(FX!8:8,FX!$3:$3,W$3)</f>
        <v>3.8498999999999999</v>
      </c>
      <c r="X8" s="101">
        <f ca="1">+SUMIFS(FX!8:8,FX!$3:$3,X$3)</f>
        <v>4.1562000000000001</v>
      </c>
      <c r="Y8" s="101">
        <f ca="1">+SUMIFS(FX!8:8,FX!$3:$3,Y$3)</f>
        <v>4.0304000000000002</v>
      </c>
      <c r="Z8" s="101">
        <f ca="1">+SUMIFS(FX!8:8,FX!$3:$3,Z$3)</f>
        <v>5.2058999999999997</v>
      </c>
      <c r="AA8" s="101">
        <f ca="1">+SUMIFS(FX!8:8,FX!$3:$3,AA$3)</f>
        <v>5.4676</v>
      </c>
      <c r="AB8" s="101">
        <f ca="1">+SUMIFS(FX!8:8,FX!$3:$3,AB$3)</f>
        <v>5.6094999999999997</v>
      </c>
      <c r="AC8" s="101">
        <f ca="1">+SUMIFS(FX!8:8,FX!$3:$3,AC$3)</f>
        <v>5.1966999999999999</v>
      </c>
      <c r="AD8" s="101">
        <f ca="1">+SUMIFS(FX!8:8,FX!$3:$3,AD$3)</f>
        <v>5.63</v>
      </c>
      <c r="AE8" s="101">
        <f ca="1">+SUMIFS(FX!8:8,FX!$3:$3,AE$3)</f>
        <v>5.6580099502487569</v>
      </c>
      <c r="AF8" s="101">
        <f ca="1">+SUMIFS(FX!8:8,FX!$3:$3,AF$3)</f>
        <v>5.6861592534838259</v>
      </c>
      <c r="AG8" s="101">
        <f ca="1">+SUMIFS(FX!8:8,FX!$3:$3,AG$3)</f>
        <v>5.714448603003647</v>
      </c>
      <c r="AH8" s="101">
        <f ca="1">+SUMIFS(FX!8:8,FX!$3:$3,AH$3)</f>
        <v>5.7428786955559046</v>
      </c>
      <c r="AI8" s="101">
        <f ca="1">+SUMIFS(FX!8:8,FX!$3:$3,AI$3)</f>
        <v>5.7714502313546907</v>
      </c>
      <c r="AJ8" s="101">
        <f ca="1">+SUMIFS(FX!8:8,FX!$3:$3,AJ$3)</f>
        <v>5.8001639140977499</v>
      </c>
      <c r="AK8" s="101">
        <f ca="1">+SUMIFS(FX!8:8,FX!$3:$3,AK$3)</f>
        <v>5.8290204509838093</v>
      </c>
      <c r="AL8" s="101">
        <f ca="1">+SUMIFS(FX!8:8,FX!$3:$3,AL$3)</f>
        <v>5.8580205527299976</v>
      </c>
      <c r="AM8" s="101">
        <f ca="1">+SUMIFS(FX!8:8,FX!$3:$3,AM$3)</f>
        <v>5.8871649335893519</v>
      </c>
      <c r="AN8" s="101">
        <f ca="1">+SUMIFS(FX!8:8,FX!$3:$3,AN$3)</f>
        <v>5.9164543113684038</v>
      </c>
      <c r="AO8" s="101">
        <f ca="1">+SUMIFS(FX!8:8,FX!$3:$3,AO$3)</f>
        <v>5.9458894074448638</v>
      </c>
      <c r="AP8" s="101">
        <f ca="1">+SUMIFS(FX!8:8,FX!$3:$3,AP$3)</f>
        <v>5.9754709467853857</v>
      </c>
      <c r="AQ8" s="101">
        <f ca="1">+SUMIFS(FX!8:8,FX!$3:$3,AQ$3)</f>
        <v>6.0051996579634235</v>
      </c>
      <c r="AR8" s="101">
        <f ca="1">+SUMIFS(FX!8:8,FX!$3:$3,AR$3)</f>
        <v>6.0350762731771725</v>
      </c>
      <c r="AS8" s="101">
        <f ca="1">+SUMIFS(FX!8:8,FX!$3:$3,AS$3)</f>
        <v>6.0651015282676068</v>
      </c>
      <c r="AT8" s="101">
        <f ca="1">+SUMIFS(FX!8:8,FX!$3:$3,AT$3)</f>
        <v>6.0952761627366012</v>
      </c>
      <c r="AU8" s="101">
        <f ca="1">+SUMIFS(FX!8:8,FX!$3:$3,AU$3)</f>
        <v>6.1256009197651418</v>
      </c>
      <c r="AV8" s="101">
        <f ca="1">+SUMIFS(FX!8:8,FX!$3:$3,AV$3)</f>
        <v>6.1560765462316356</v>
      </c>
      <c r="AW8" s="101">
        <f ca="1">+SUMIFS(FX!8:8,FX!$3:$3,AW$3)</f>
        <v>6.1867037927303015</v>
      </c>
      <c r="AX8" s="101">
        <f ca="1">+SUMIFS(FX!8:8,FX!$3:$3,AX$3)</f>
        <v>6.2174834135896573</v>
      </c>
      <c r="AY8" s="101">
        <f ca="1">+SUMIFS(FX!8:8,FX!$3:$3,AY$3)</f>
        <v>6.2484161668910998</v>
      </c>
      <c r="AZ8" s="101">
        <f ca="1">+SUMIFS(FX!8:8,FX!$3:$3,AZ$3)</f>
        <v>6.2795028144875733</v>
      </c>
      <c r="BA8" s="101">
        <f ca="1">+SUMIFS(FX!8:8,FX!$3:$3,BA$3)</f>
        <v>6.3107441220223386</v>
      </c>
      <c r="BB8" s="8" t="s">
        <v>75</v>
      </c>
    </row>
    <row r="9" spans="1:54" x14ac:dyDescent="0.2">
      <c r="B9" s="1" t="s">
        <v>197</v>
      </c>
      <c r="C9" s="45" t="s">
        <v>200</v>
      </c>
      <c r="E9" s="63"/>
      <c r="F9" s="63"/>
      <c r="G9" s="63"/>
      <c r="H9" s="63"/>
      <c r="I9" s="63"/>
      <c r="J9" s="63"/>
      <c r="R9" s="101">
        <f ca="1">+SUMIFS(FX!11:11,FX!$3:$3,R$3)</f>
        <v>3.2670911764705881</v>
      </c>
      <c r="S9" s="101">
        <f ca="1">+SUMIFS(FX!11:11,FX!$3:$3,S$3)</f>
        <v>3.6087936507936504</v>
      </c>
      <c r="T9" s="101">
        <f ca="1">+SUMIFS(FX!11:11,FX!$3:$3,T$3)</f>
        <v>3.9478421874999987</v>
      </c>
      <c r="U9" s="101">
        <f ca="1">+SUMIFS(FX!11:11,FX!$3:$3,U$3)</f>
        <v>3.8125758064516133</v>
      </c>
      <c r="V9" s="101">
        <f ca="1">+SUMIFS(FX!11:11,FX!$3:$3,V$3)</f>
        <v>3.7655786885245899</v>
      </c>
      <c r="W9" s="101">
        <f ca="1">+SUMIFS(FX!11:11,FX!$3:$3,W$3)</f>
        <v>3.9215532258064503</v>
      </c>
      <c r="X9" s="101">
        <f ca="1">+SUMIFS(FX!11:11,FX!$3:$3,X$3)</f>
        <v>3.9722803030303022</v>
      </c>
      <c r="Y9" s="101">
        <f ca="1">+SUMIFS(FX!11:11,FX!$3:$3,Y$3)</f>
        <v>4.1161359375000002</v>
      </c>
      <c r="Z9" s="101">
        <f ca="1">+SUMIFS(FX!11:11,FX!$3:$3,Z$3)</f>
        <v>4.4725483870967748</v>
      </c>
      <c r="AA9" s="101">
        <f ca="1">+SUMIFS(FX!11:11,FX!$3:$3,AA$3)</f>
        <v>5.3856540983606553</v>
      </c>
      <c r="AB9" s="101">
        <f ca="1">+SUMIFS(FX!11:11,FX!$3:$3,AB$3)</f>
        <v>5.380169230769229</v>
      </c>
      <c r="AC9" s="101">
        <f ca="1">+SUMIFS(FX!11:11,FX!$3:$3,AC$3)</f>
        <v>5.3950349206349211</v>
      </c>
      <c r="AD9" s="101">
        <f ca="1">+SUMIFS(FX!11:11,FX!$3:$3,AD$3)</f>
        <v>5.3901184210526321</v>
      </c>
      <c r="AE9" s="101">
        <f ca="1">+SUMIFS(FX!11:11,FX!$3:$3,AE$3)</f>
        <v>5.6440049751243784</v>
      </c>
      <c r="AF9" s="101">
        <f ca="1">+SUMIFS(FX!11:11,FX!$3:$3,AF$3)</f>
        <v>5.6720846018662918</v>
      </c>
      <c r="AG9" s="101">
        <f ca="1">+SUMIFS(FX!11:11,FX!$3:$3,AG$3)</f>
        <v>5.700303928243736</v>
      </c>
      <c r="AH9" s="101">
        <f ca="1">+SUMIFS(FX!11:11,FX!$3:$3,AH$3)</f>
        <v>5.7286636492797758</v>
      </c>
      <c r="AI9" s="101">
        <f ca="1">+SUMIFS(FX!11:11,FX!$3:$3,AI$3)</f>
        <v>5.7571644634552976</v>
      </c>
      <c r="AJ9" s="101">
        <f ca="1">+SUMIFS(FX!11:11,FX!$3:$3,AJ$3)</f>
        <v>5.7858070727262199</v>
      </c>
      <c r="AK9" s="101">
        <f ca="1">+SUMIFS(FX!11:11,FX!$3:$3,AK$3)</f>
        <v>5.81459218254078</v>
      </c>
      <c r="AL9" s="101">
        <f ca="1">+SUMIFS(FX!11:11,FX!$3:$3,AL$3)</f>
        <v>5.8435205018569034</v>
      </c>
      <c r="AM9" s="101">
        <f ca="1">+SUMIFS(FX!11:11,FX!$3:$3,AM$3)</f>
        <v>5.8725927431596752</v>
      </c>
      <c r="AN9" s="101">
        <f ca="1">+SUMIFS(FX!11:11,FX!$3:$3,AN$3)</f>
        <v>5.9018096224788774</v>
      </c>
      <c r="AO9" s="101">
        <f ca="1">+SUMIFS(FX!11:11,FX!$3:$3,AO$3)</f>
        <v>5.9311718594066338</v>
      </c>
      <c r="AP9" s="101">
        <f ca="1">+SUMIFS(FX!11:11,FX!$3:$3,AP$3)</f>
        <v>5.9606801771151243</v>
      </c>
      <c r="AQ9" s="101">
        <f ca="1">+SUMIFS(FX!11:11,FX!$3:$3,AQ$3)</f>
        <v>5.9903353023744046</v>
      </c>
      <c r="AR9" s="101">
        <f ca="1">+SUMIFS(FX!11:11,FX!$3:$3,AR$3)</f>
        <v>6.0201379655702976</v>
      </c>
      <c r="AS9" s="101">
        <f ca="1">+SUMIFS(FX!11:11,FX!$3:$3,AS$3)</f>
        <v>6.0500889007223897</v>
      </c>
      <c r="AT9" s="101">
        <f ca="1">+SUMIFS(FX!11:11,FX!$3:$3,AT$3)</f>
        <v>6.0801888455021036</v>
      </c>
      <c r="AU9" s="101">
        <f ca="1">+SUMIFS(FX!11:11,FX!$3:$3,AU$3)</f>
        <v>6.1104385412508719</v>
      </c>
      <c r="AV9" s="101">
        <f ca="1">+SUMIFS(FX!11:11,FX!$3:$3,AV$3)</f>
        <v>6.1408387329983887</v>
      </c>
      <c r="AW9" s="101">
        <f ca="1">+SUMIFS(FX!11:11,FX!$3:$3,AW$3)</f>
        <v>6.1713901694809685</v>
      </c>
      <c r="AX9" s="101">
        <f ca="1">+SUMIFS(FX!11:11,FX!$3:$3,AX$3)</f>
        <v>6.2020936031599794</v>
      </c>
      <c r="AY9" s="101">
        <f ca="1">+SUMIFS(FX!11:11,FX!$3:$3,AY$3)</f>
        <v>6.2329497902403785</v>
      </c>
      <c r="AZ9" s="101">
        <f ca="1">+SUMIFS(FX!11:11,FX!$3:$3,AZ$3)</f>
        <v>6.2639594906893361</v>
      </c>
      <c r="BA9" s="101">
        <f ca="1">+SUMIFS(FX!11:11,FX!$3:$3,BA$3)</f>
        <v>6.2951234682549559</v>
      </c>
      <c r="BB9" s="8" t="s">
        <v>75</v>
      </c>
    </row>
    <row r="10" spans="1:54" x14ac:dyDescent="0.2">
      <c r="E10" s="67"/>
      <c r="F10" s="67"/>
      <c r="G10" s="67"/>
      <c r="H10" s="67"/>
      <c r="I10" s="67"/>
      <c r="N10" s="134"/>
      <c r="BB10" s="8" t="s">
        <v>75</v>
      </c>
    </row>
    <row r="11" spans="1:54" s="99" customFormat="1" x14ac:dyDescent="0.2">
      <c r="A11" s="98" t="s">
        <v>75</v>
      </c>
      <c r="B11" s="99" t="s">
        <v>16</v>
      </c>
      <c r="F11" s="217"/>
      <c r="G11" s="217"/>
      <c r="H11" s="217"/>
      <c r="I11" s="217"/>
      <c r="J11" s="217"/>
      <c r="K11" s="217"/>
      <c r="L11" s="217"/>
      <c r="M11" s="217"/>
      <c r="N11" s="217"/>
      <c r="BB11" s="100" t="s">
        <v>75</v>
      </c>
    </row>
    <row r="12" spans="1:54" s="2" customFormat="1" x14ac:dyDescent="0.2">
      <c r="B12" s="2" t="s">
        <v>6</v>
      </c>
      <c r="C12" s="45" t="s">
        <v>201</v>
      </c>
      <c r="F12" s="13">
        <f t="shared" ref="F12:N21" si="9">+SUMIFS(12:12,$6:$6,F$3)</f>
        <v>3560.4319860000005</v>
      </c>
      <c r="G12" s="13">
        <f t="shared" si="9"/>
        <v>4337.4387420000003</v>
      </c>
      <c r="H12" s="13">
        <f t="shared" si="9"/>
        <v>6331.0911839999999</v>
      </c>
      <c r="I12" s="13">
        <f t="shared" ca="1" si="9"/>
        <v>6891.7743113334627</v>
      </c>
      <c r="J12" s="13">
        <f t="shared" ca="1" si="9"/>
        <v>7496.2844948345301</v>
      </c>
      <c r="K12" s="13">
        <f t="shared" ca="1" si="9"/>
        <v>8147.6678986011884</v>
      </c>
      <c r="L12" s="13">
        <f t="shared" ca="1" si="9"/>
        <v>8849.1692007038291</v>
      </c>
      <c r="M12" s="13">
        <f t="shared" ca="1" si="9"/>
        <v>9604.2440133645068</v>
      </c>
      <c r="N12" s="13">
        <f t="shared" ca="1" si="9"/>
        <v>10360.880658332933</v>
      </c>
      <c r="P12" s="131">
        <f ca="1">+IFERROR((N12/I12)^(1/5)-1,"NM")</f>
        <v>8.4958495687075919E-2</v>
      </c>
      <c r="R12" s="13">
        <f t="shared" ref="R12:AC12" si="10">+R13+R14+R15</f>
        <v>513.376713</v>
      </c>
      <c r="S12" s="13">
        <f t="shared" si="10"/>
        <v>1105.9087079999999</v>
      </c>
      <c r="T12" s="13">
        <f t="shared" si="10"/>
        <v>1197.4353640000002</v>
      </c>
      <c r="U12" s="13">
        <f t="shared" si="10"/>
        <v>743.71120100000007</v>
      </c>
      <c r="V12" s="13">
        <f t="shared" si="10"/>
        <v>963.06323999999995</v>
      </c>
      <c r="W12" s="13">
        <f t="shared" si="10"/>
        <v>1104.72498</v>
      </c>
      <c r="X12" s="13">
        <f t="shared" si="10"/>
        <v>1595.4731100000001</v>
      </c>
      <c r="Y12" s="13">
        <f t="shared" si="10"/>
        <v>674.177412</v>
      </c>
      <c r="Z12" s="13">
        <f t="shared" si="10"/>
        <v>1413.4486900000004</v>
      </c>
      <c r="AA12" s="13">
        <f t="shared" si="10"/>
        <v>2079.7927159999999</v>
      </c>
      <c r="AB12" s="13">
        <f t="shared" si="10"/>
        <v>1958.1253479999996</v>
      </c>
      <c r="AC12" s="13">
        <f t="shared" si="10"/>
        <v>879.7244300000001</v>
      </c>
      <c r="AD12" s="13">
        <f t="shared" ref="AD12:BA12" ca="1" si="11">+AD13+AD14+AD15</f>
        <v>1538.6076489244267</v>
      </c>
      <c r="AE12" s="13">
        <f t="shared" ca="1" si="11"/>
        <v>2253.7561184518891</v>
      </c>
      <c r="AF12" s="13">
        <f t="shared" ca="1" si="11"/>
        <v>2133.7656040621487</v>
      </c>
      <c r="AG12" s="13">
        <f t="shared" ca="1" si="11"/>
        <v>965.64493989499806</v>
      </c>
      <c r="AH12" s="13">
        <f t="shared" ca="1" si="11"/>
        <v>1673.5499390304913</v>
      </c>
      <c r="AI12" s="13">
        <f t="shared" ca="1" si="11"/>
        <v>2441.3177610481303</v>
      </c>
      <c r="AJ12" s="13">
        <f t="shared" ca="1" si="11"/>
        <v>2323.1351752979831</v>
      </c>
      <c r="AK12" s="13">
        <f t="shared" ca="1" si="11"/>
        <v>1058.2816194579268</v>
      </c>
      <c r="AL12" s="13">
        <f t="shared" ca="1" si="11"/>
        <v>1818.9555428406388</v>
      </c>
      <c r="AM12" s="13">
        <f t="shared" ca="1" si="11"/>
        <v>2643.4227784736786</v>
      </c>
      <c r="AN12" s="13">
        <f t="shared" ca="1" si="11"/>
        <v>2527.188306656376</v>
      </c>
      <c r="AO12" s="13">
        <f t="shared" ca="1" si="11"/>
        <v>1158.1012706304944</v>
      </c>
      <c r="AP12" s="13">
        <f t="shared" ca="1" si="11"/>
        <v>1975.5487563244433</v>
      </c>
      <c r="AQ12" s="13">
        <f t="shared" ca="1" si="11"/>
        <v>2861.0778984317049</v>
      </c>
      <c r="AR12" s="13">
        <f t="shared" ca="1" si="11"/>
        <v>2746.941429806735</v>
      </c>
      <c r="AS12" s="13">
        <f t="shared" ca="1" si="11"/>
        <v>1265.6011161409458</v>
      </c>
      <c r="AT12" s="13">
        <f t="shared" ca="1" si="11"/>
        <v>2144.100961403482</v>
      </c>
      <c r="AU12" s="13">
        <f t="shared" ca="1" si="11"/>
        <v>3095.3552952581149</v>
      </c>
      <c r="AV12" s="13">
        <f t="shared" ca="1" si="11"/>
        <v>2983.4770538989592</v>
      </c>
      <c r="AW12" s="13">
        <f t="shared" ca="1" si="11"/>
        <v>1381.3107028039499</v>
      </c>
      <c r="AX12" s="13">
        <f t="shared" ca="1" si="11"/>
        <v>2313.0018078025873</v>
      </c>
      <c r="AY12" s="13">
        <f t="shared" ca="1" si="11"/>
        <v>3330.117282486965</v>
      </c>
      <c r="AZ12" s="13">
        <f t="shared" ca="1" si="11"/>
        <v>3220.5019394172655</v>
      </c>
      <c r="BA12" s="13">
        <f t="shared" ca="1" si="11"/>
        <v>1497.2596286261164</v>
      </c>
      <c r="BB12" s="83" t="s">
        <v>75</v>
      </c>
    </row>
    <row r="13" spans="1:54" x14ac:dyDescent="0.2">
      <c r="B13" s="19" t="s">
        <v>11</v>
      </c>
      <c r="C13" s="45" t="s">
        <v>201</v>
      </c>
      <c r="D13" s="2"/>
      <c r="E13" s="2"/>
      <c r="F13" s="11">
        <f t="shared" si="9"/>
        <v>2921.1474700000003</v>
      </c>
      <c r="G13" s="11">
        <f t="shared" si="9"/>
        <v>3527.2346000000007</v>
      </c>
      <c r="H13" s="11">
        <f t="shared" si="9"/>
        <v>5144.7331690000001</v>
      </c>
      <c r="I13" s="11">
        <f t="shared" ca="1" si="9"/>
        <v>5680.2490881880522</v>
      </c>
      <c r="J13" s="11">
        <f t="shared" ca="1" si="9"/>
        <v>6257.6248121833642</v>
      </c>
      <c r="K13" s="11">
        <f t="shared" ca="1" si="9"/>
        <v>6879.7697728689418</v>
      </c>
      <c r="L13" s="11">
        <f t="shared" ca="1" si="9"/>
        <v>7549.783005465627</v>
      </c>
      <c r="M13" s="11">
        <f t="shared" ca="1" si="9"/>
        <v>8270.9650112106319</v>
      </c>
      <c r="N13" s="11">
        <f t="shared" ca="1" si="9"/>
        <v>8993.6387437851608</v>
      </c>
      <c r="P13" s="97">
        <f t="shared" ref="P13:P31" ca="1" si="12">+IFERROR((N13/I13)^(1/5)-1,"NM")</f>
        <v>9.6260110176681568E-2</v>
      </c>
      <c r="R13" s="46">
        <f>+SUMIFS(North!13:13,North!$3:$3,'Segments USD'!R$3)</f>
        <v>500.37006000000002</v>
      </c>
      <c r="S13" s="46">
        <f>+SUMIFS(North!13:13,North!$3:$3,'Segments USD'!S$3)</f>
        <v>772.82811000000004</v>
      </c>
      <c r="T13" s="46">
        <f>+SUMIFS(North!13:13,North!$3:$3,'Segments USD'!T$3)</f>
        <v>1036.2882400000001</v>
      </c>
      <c r="U13" s="46">
        <f>+SUMIFS(North!13:13,North!$3:$3,'Segments USD'!U$3)</f>
        <v>611.66106000000002</v>
      </c>
      <c r="V13" s="46">
        <f>+SUMIFS(North!13:13,North!$3:$3,'Segments USD'!V$3)</f>
        <v>777.19600000000003</v>
      </c>
      <c r="W13" s="46">
        <f>+SUMIFS(North!13:13,North!$3:$3,'Segments USD'!W$3)</f>
        <v>832.73099999999999</v>
      </c>
      <c r="X13" s="46">
        <f>+SUMIFS(North!13:13,North!$3:$3,'Segments USD'!X$3)</f>
        <v>1351.9665200000002</v>
      </c>
      <c r="Y13" s="46">
        <f>+SUMIFS(North!13:13,North!$3:$3,'Segments USD'!Y$3)</f>
        <v>565.34108000000003</v>
      </c>
      <c r="Z13" s="46">
        <f>+SUMIFS(North!13:13,North!$3:$3,'Segments USD'!Z$3)</f>
        <v>1161.7867300000005</v>
      </c>
      <c r="AA13" s="46">
        <f>+SUMIFS(North!13:13,North!$3:$3,'Segments USD'!AA$3)</f>
        <v>1611.2918579999998</v>
      </c>
      <c r="AB13" s="46">
        <f>+SUMIFS(North!13:13,North!$3:$3,'Segments USD'!AB$3)</f>
        <v>1677.2220499999996</v>
      </c>
      <c r="AC13" s="46">
        <f>+SUMIFS(North!13:13,North!$3:$3,'Segments USD'!AC$3)</f>
        <v>694.43253100000015</v>
      </c>
      <c r="AD13" s="46">
        <f ca="1">+SUMIFS(North!13:13,North!$3:$3,'Segments USD'!AD$3)</f>
        <v>1282.7172560699003</v>
      </c>
      <c r="AE13" s="46">
        <f ca="1">+SUMIFS(North!13:13,North!$3:$3,'Segments USD'!AE$3)</f>
        <v>1779.0114290783215</v>
      </c>
      <c r="AF13" s="46">
        <f ca="1">+SUMIFS(North!13:13,North!$3:$3,'Segments USD'!AF$3)</f>
        <v>1851.804303011734</v>
      </c>
      <c r="AG13" s="46">
        <f ca="1">+SUMIFS(North!13:13,North!$3:$3,'Segments USD'!AG$3)</f>
        <v>766.716100028097</v>
      </c>
      <c r="AH13" s="46">
        <f ca="1">+SUMIFS(North!13:13,North!$3:$3,'Segments USD'!AH$3)</f>
        <v>1413.100588368605</v>
      </c>
      <c r="AI13" s="46">
        <f ca="1">+SUMIFS(North!13:13,North!$3:$3,'Segments USD'!AI$3)</f>
        <v>1959.8411771955266</v>
      </c>
      <c r="AJ13" s="46">
        <f ca="1">+SUMIFS(North!13:13,North!$3:$3,'Segments USD'!AJ$3)</f>
        <v>2040.033170012018</v>
      </c>
      <c r="AK13" s="46">
        <f ca="1">+SUMIFS(North!13:13,North!$3:$3,'Segments USD'!AK$3)</f>
        <v>844.64987660721465</v>
      </c>
      <c r="AL13" s="46">
        <f ca="1">+SUMIFS(North!13:13,North!$3:$3,'Segments USD'!AL$3)</f>
        <v>1553.5937365489933</v>
      </c>
      <c r="AM13" s="46">
        <f ca="1">+SUMIFS(North!13:13,North!$3:$3,'Segments USD'!AM$3)</f>
        <v>2154.6923146050985</v>
      </c>
      <c r="AN13" s="46">
        <f ca="1">+SUMIFS(North!13:13,North!$3:$3,'Segments USD'!AN$3)</f>
        <v>2242.857147870729</v>
      </c>
      <c r="AO13" s="46">
        <f ca="1">+SUMIFS(North!13:13,North!$3:$3,'Segments USD'!AO$3)</f>
        <v>928.62657384412068</v>
      </c>
      <c r="AP13" s="46">
        <f ca="1">+SUMIFS(North!13:13,North!$3:$3,'Segments USD'!AP$3)</f>
        <v>1704.8965266034161</v>
      </c>
      <c r="AQ13" s="46">
        <f ca="1">+SUMIFS(North!13:13,North!$3:$3,'Segments USD'!AQ$3)</f>
        <v>2364.5354359044568</v>
      </c>
      <c r="AR13" s="46">
        <f ca="1">+SUMIFS(North!13:13,North!$3:$3,'Segments USD'!AR$3)</f>
        <v>2461.2865455845404</v>
      </c>
      <c r="AS13" s="46">
        <f ca="1">+SUMIFS(North!13:13,North!$3:$3,'Segments USD'!AS$3)</f>
        <v>1019.0644973732132</v>
      </c>
      <c r="AT13" s="46">
        <f ca="1">+SUMIFS(North!13:13,North!$3:$3,'Segments USD'!AT$3)</f>
        <v>1867.7542797008794</v>
      </c>
      <c r="AU13" s="46">
        <f ca="1">+SUMIFS(North!13:13,North!$3:$3,'Segments USD'!AU$3)</f>
        <v>2590.4042333369398</v>
      </c>
      <c r="AV13" s="46">
        <f ca="1">+SUMIFS(North!13:13,North!$3:$3,'Segments USD'!AV$3)</f>
        <v>2696.3973516001342</v>
      </c>
      <c r="AW13" s="46">
        <f ca="1">+SUMIFS(North!13:13,North!$3:$3,'Segments USD'!AW$3)</f>
        <v>1116.409146572679</v>
      </c>
      <c r="AX13" s="46">
        <f ca="1">+SUMIFS(North!13:13,North!$3:$3,'Segments USD'!AX$3)</f>
        <v>2030.9488954457131</v>
      </c>
      <c r="AY13" s="46">
        <f ca="1">+SUMIFS(North!13:13,North!$3:$3,'Segments USD'!AY$3)</f>
        <v>2816.7402284288178</v>
      </c>
      <c r="AZ13" s="46">
        <f ca="1">+SUMIFS(North!13:13,North!$3:$3,'Segments USD'!AZ$3)</f>
        <v>2931.9944718809897</v>
      </c>
      <c r="BA13" s="46">
        <f ca="1">+SUMIFS(North!13:13,North!$3:$3,'Segments USD'!BA$3)</f>
        <v>1213.9551480296393</v>
      </c>
      <c r="BB13" s="8" t="s">
        <v>75</v>
      </c>
    </row>
    <row r="14" spans="1:54" x14ac:dyDescent="0.2">
      <c r="B14" s="19" t="s">
        <v>12</v>
      </c>
      <c r="C14" s="45" t="s">
        <v>201</v>
      </c>
      <c r="D14" s="2"/>
      <c r="E14" s="2"/>
      <c r="F14" s="11">
        <f t="shared" si="9"/>
        <v>372.70988599999998</v>
      </c>
      <c r="G14" s="11">
        <f t="shared" si="9"/>
        <v>341.36425199999996</v>
      </c>
      <c r="H14" s="11">
        <f t="shared" si="9"/>
        <v>241.78286</v>
      </c>
      <c r="I14" s="11">
        <f t="shared" ca="1" si="9"/>
        <v>266.95006814540972</v>
      </c>
      <c r="J14" s="11">
        <f t="shared" ca="1" si="9"/>
        <v>294.08452765116704</v>
      </c>
      <c r="K14" s="11">
        <f t="shared" ca="1" si="9"/>
        <v>323.32297073224618</v>
      </c>
      <c r="L14" s="11">
        <f t="shared" ca="1" si="9"/>
        <v>354.81104023820262</v>
      </c>
      <c r="M14" s="11">
        <f t="shared" ca="1" si="9"/>
        <v>388.70384715387337</v>
      </c>
      <c r="N14" s="11">
        <f t="shared" ca="1" si="9"/>
        <v>422.66675954777452</v>
      </c>
      <c r="P14" s="97">
        <f t="shared" ca="1" si="12"/>
        <v>9.6260110176681568E-2</v>
      </c>
      <c r="R14" s="46">
        <f>+SUMIFS(North!14:14,North!$3:$3,'Segments USD'!R$3)</f>
        <v>3.3256930000000002</v>
      </c>
      <c r="S14" s="46">
        <f>+SUMIFS(North!14:14,North!$3:$3,'Segments USD'!S$3)</f>
        <v>140.47992799999997</v>
      </c>
      <c r="T14" s="46">
        <f>+SUMIFS(North!14:14,North!$3:$3,'Segments USD'!T$3)</f>
        <v>99.358124000000004</v>
      </c>
      <c r="U14" s="46">
        <f>+SUMIFS(North!14:14,North!$3:$3,'Segments USD'!U$3)</f>
        <v>129.54614100000001</v>
      </c>
      <c r="V14" s="46">
        <f>+SUMIFS(North!14:14,North!$3:$3,'Segments USD'!V$3)</f>
        <v>68.197239999999994</v>
      </c>
      <c r="W14" s="46">
        <f>+SUMIFS(North!14:14,North!$3:$3,'Segments USD'!W$3)</f>
        <v>93.983000000000004</v>
      </c>
      <c r="X14" s="46">
        <f>+SUMIFS(North!14:14,North!$3:$3,'Segments USD'!X$3)</f>
        <v>71.123680000000007</v>
      </c>
      <c r="Y14" s="46">
        <f>+SUMIFS(North!14:14,North!$3:$3,'Segments USD'!Y$3)</f>
        <v>108.06033199999999</v>
      </c>
      <c r="Z14" s="46">
        <f>+SUMIFS(North!14:14,North!$3:$3,'Segments USD'!Z$3)</f>
        <v>40.622805</v>
      </c>
      <c r="AA14" s="46">
        <f>+SUMIFS(North!14:14,North!$3:$3,'Segments USD'!AA$3)</f>
        <v>59.984858000000003</v>
      </c>
      <c r="AB14" s="46">
        <f>+SUMIFS(North!14:14,North!$3:$3,'Segments USD'!AB$3)</f>
        <v>10.164298</v>
      </c>
      <c r="AC14" s="46">
        <f>+SUMIFS(North!14:14,North!$3:$3,'Segments USD'!AC$3)</f>
        <v>131.01089899999999</v>
      </c>
      <c r="AD14" s="46">
        <f ca="1">+SUMIFS(North!14:14,North!$3:$3,'Segments USD'!AD$3)</f>
        <v>44.851237854526538</v>
      </c>
      <c r="AE14" s="46">
        <f ca="1">+SUMIFS(North!14:14,North!$3:$3,'Segments USD'!AE$3)</f>
        <v>66.228689373567363</v>
      </c>
      <c r="AF14" s="46">
        <f ca="1">+SUMIFS(North!14:14,North!$3:$3,'Segments USD'!AF$3)</f>
        <v>11.222301050414623</v>
      </c>
      <c r="AG14" s="46">
        <f ca="1">+SUMIFS(North!14:14,North!$3:$3,'Segments USD'!AG$3)</f>
        <v>144.64783986690117</v>
      </c>
      <c r="AH14" s="46">
        <f ca="1">+SUMIFS(North!14:14,North!$3:$3,'Segments USD'!AH$3)</f>
        <v>49.41019566188632</v>
      </c>
      <c r="AI14" s="46">
        <f ca="1">+SUMIFS(North!14:14,North!$3:$3,'Segments USD'!AI$3)</f>
        <v>72.960583852603648</v>
      </c>
      <c r="AJ14" s="46">
        <f ca="1">+SUMIFS(North!14:14,North!$3:$3,'Segments USD'!AJ$3)</f>
        <v>12.363005285964862</v>
      </c>
      <c r="AK14" s="46">
        <f ca="1">+SUMIFS(North!14:14,North!$3:$3,'Segments USD'!AK$3)</f>
        <v>159.35074285071218</v>
      </c>
      <c r="AL14" s="46">
        <f ca="1">+SUMIFS(North!14:14,North!$3:$3,'Segments USD'!AL$3)</f>
        <v>54.322651291645506</v>
      </c>
      <c r="AM14" s="46">
        <f ca="1">+SUMIFS(North!14:14,North!$3:$3,'Segments USD'!AM$3)</f>
        <v>80.214463868580026</v>
      </c>
      <c r="AN14" s="46">
        <f ca="1">+SUMIFS(North!14:14,North!$3:$3,'Segments USD'!AN$3)</f>
        <v>13.592158785646877</v>
      </c>
      <c r="AO14" s="46">
        <f ca="1">+SUMIFS(North!14:14,North!$3:$3,'Segments USD'!AO$3)</f>
        <v>175.19369678637375</v>
      </c>
      <c r="AP14" s="46">
        <f ca="1">+SUMIFS(North!14:14,North!$3:$3,'Segments USD'!AP$3)</f>
        <v>59.613074721027211</v>
      </c>
      <c r="AQ14" s="46">
        <f ca="1">+SUMIFS(North!14:14,North!$3:$3,'Segments USD'!AQ$3)</f>
        <v>88.026462527248086</v>
      </c>
      <c r="AR14" s="46">
        <f ca="1">+SUMIFS(North!14:14,North!$3:$3,'Segments USD'!AR$3)</f>
        <v>14.915884222194588</v>
      </c>
      <c r="AS14" s="46">
        <f ca="1">+SUMIFS(North!14:14,North!$3:$3,'Segments USD'!AS$3)</f>
        <v>192.25561876773273</v>
      </c>
      <c r="AT14" s="46">
        <f ca="1">+SUMIFS(North!14:14,North!$3:$3,'Segments USD'!AT$3)</f>
        <v>65.307526702602516</v>
      </c>
      <c r="AU14" s="46">
        <f ca="1">+SUMIFS(North!14:14,North!$3:$3,'Segments USD'!AU$3)</f>
        <v>96.435061921175048</v>
      </c>
      <c r="AV14" s="46">
        <f ca="1">+SUMIFS(North!14:14,North!$3:$3,'Segments USD'!AV$3)</f>
        <v>16.340702298824745</v>
      </c>
      <c r="AW14" s="46">
        <f ca="1">+SUMIFS(North!14:14,North!$3:$3,'Segments USD'!AW$3)</f>
        <v>210.62055623127105</v>
      </c>
      <c r="AX14" s="46">
        <f ca="1">+SUMIFS(North!14:14,North!$3:$3,'Segments USD'!AX$3)</f>
        <v>71.013757356874407</v>
      </c>
      <c r="AY14" s="46">
        <f ca="1">+SUMIFS(North!14:14,North!$3:$3,'Segments USD'!AY$3)</f>
        <v>104.86105405814705</v>
      </c>
      <c r="AZ14" s="46">
        <f ca="1">+SUMIFS(North!14:14,North!$3:$3,'Segments USD'!AZ$3)</f>
        <v>17.768467536275839</v>
      </c>
      <c r="BA14" s="46">
        <f ca="1">+SUMIFS(North!14:14,North!$3:$3,'Segments USD'!BA$3)</f>
        <v>229.02348059647721</v>
      </c>
      <c r="BB14" s="8" t="s">
        <v>75</v>
      </c>
    </row>
    <row r="15" spans="1:54" x14ac:dyDescent="0.2">
      <c r="B15" s="19" t="s">
        <v>130</v>
      </c>
      <c r="C15" s="45" t="s">
        <v>201</v>
      </c>
      <c r="D15" s="2"/>
      <c r="E15" s="2"/>
      <c r="F15" s="11">
        <f t="shared" si="9"/>
        <v>266.57463000000001</v>
      </c>
      <c r="G15" s="11">
        <f t="shared" si="9"/>
        <v>468.83989000000003</v>
      </c>
      <c r="H15" s="11">
        <f t="shared" si="9"/>
        <v>944.575155</v>
      </c>
      <c r="I15" s="11">
        <f t="shared" si="9"/>
        <v>944.575155</v>
      </c>
      <c r="J15" s="11">
        <f t="shared" si="9"/>
        <v>944.575155</v>
      </c>
      <c r="K15" s="11">
        <f t="shared" si="9"/>
        <v>944.575155</v>
      </c>
      <c r="L15" s="11">
        <f t="shared" si="9"/>
        <v>944.575155</v>
      </c>
      <c r="M15" s="11">
        <f t="shared" si="9"/>
        <v>944.575155</v>
      </c>
      <c r="N15" s="11">
        <f t="shared" si="9"/>
        <v>944.575155</v>
      </c>
      <c r="P15" s="97">
        <f t="shared" si="12"/>
        <v>0</v>
      </c>
      <c r="R15" s="46">
        <f>+SUMIFS(North!15:15,North!$3:$3,'Segments USD'!R$3)</f>
        <v>9.6809600000000007</v>
      </c>
      <c r="S15" s="46">
        <f>+SUMIFS(North!15:15,North!$3:$3,'Segments USD'!S$3)</f>
        <v>192.60067000000001</v>
      </c>
      <c r="T15" s="46">
        <f>+SUMIFS(North!15:15,North!$3:$3,'Segments USD'!T$3)</f>
        <v>61.789000000000001</v>
      </c>
      <c r="U15" s="46">
        <f>+SUMIFS(North!15:15,North!$3:$3,'Segments USD'!U$3)</f>
        <v>2.504</v>
      </c>
      <c r="V15" s="46">
        <f>+SUMIFS(North!15:15,North!$3:$3,'Segments USD'!V$3)</f>
        <v>117.67</v>
      </c>
      <c r="W15" s="46">
        <f>+SUMIFS(North!15:15,North!$3:$3,'Segments USD'!W$3)</f>
        <v>178.01098000000002</v>
      </c>
      <c r="X15" s="46">
        <f>+SUMIFS(North!15:15,North!$3:$3,'Segments USD'!X$3)</f>
        <v>172.38290999999998</v>
      </c>
      <c r="Y15" s="46">
        <f>+SUMIFS(North!15:15,North!$3:$3,'Segments USD'!Y$3)</f>
        <v>0.77600000000000002</v>
      </c>
      <c r="Z15" s="46">
        <f>+SUMIFS(North!15:15,North!$3:$3,'Segments USD'!Z$3)</f>
        <v>211.03915499999999</v>
      </c>
      <c r="AA15" s="46">
        <f>+SUMIFS(North!15:15,North!$3:$3,'Segments USD'!AA$3)</f>
        <v>408.51600000000002</v>
      </c>
      <c r="AB15" s="46">
        <f>+SUMIFS(North!15:15,North!$3:$3,'Segments USD'!AB$3)</f>
        <v>270.73899999999998</v>
      </c>
      <c r="AC15" s="46">
        <f>+SUMIFS(North!15:15,North!$3:$3,'Segments USD'!AC$3)</f>
        <v>54.280999999999999</v>
      </c>
      <c r="AD15" s="46">
        <f>+SUMIFS(North!15:15,North!$3:$3,'Segments USD'!AD$3)</f>
        <v>211.03915499999999</v>
      </c>
      <c r="AE15" s="46">
        <f>+SUMIFS(North!15:15,North!$3:$3,'Segments USD'!AE$3)</f>
        <v>408.51600000000002</v>
      </c>
      <c r="AF15" s="46">
        <f>+SUMIFS(North!15:15,North!$3:$3,'Segments USD'!AF$3)</f>
        <v>270.73899999999998</v>
      </c>
      <c r="AG15" s="46">
        <f>+SUMIFS(North!15:15,North!$3:$3,'Segments USD'!AG$3)</f>
        <v>54.280999999999999</v>
      </c>
      <c r="AH15" s="46">
        <f>+SUMIFS(North!15:15,North!$3:$3,'Segments USD'!AH$3)</f>
        <v>211.03915499999999</v>
      </c>
      <c r="AI15" s="46">
        <f>+SUMIFS(North!15:15,North!$3:$3,'Segments USD'!AI$3)</f>
        <v>408.51600000000002</v>
      </c>
      <c r="AJ15" s="46">
        <f>+SUMIFS(North!15:15,North!$3:$3,'Segments USD'!AJ$3)</f>
        <v>270.73899999999998</v>
      </c>
      <c r="AK15" s="46">
        <f>+SUMIFS(North!15:15,North!$3:$3,'Segments USD'!AK$3)</f>
        <v>54.280999999999999</v>
      </c>
      <c r="AL15" s="46">
        <f>+SUMIFS(North!15:15,North!$3:$3,'Segments USD'!AL$3)</f>
        <v>211.03915499999999</v>
      </c>
      <c r="AM15" s="46">
        <f>+SUMIFS(North!15:15,North!$3:$3,'Segments USD'!AM$3)</f>
        <v>408.51600000000002</v>
      </c>
      <c r="AN15" s="46">
        <f>+SUMIFS(North!15:15,North!$3:$3,'Segments USD'!AN$3)</f>
        <v>270.73899999999998</v>
      </c>
      <c r="AO15" s="46">
        <f>+SUMIFS(North!15:15,North!$3:$3,'Segments USD'!AO$3)</f>
        <v>54.280999999999999</v>
      </c>
      <c r="AP15" s="46">
        <f>+SUMIFS(North!15:15,North!$3:$3,'Segments USD'!AP$3)</f>
        <v>211.03915499999999</v>
      </c>
      <c r="AQ15" s="46">
        <f>+SUMIFS(North!15:15,North!$3:$3,'Segments USD'!AQ$3)</f>
        <v>408.51600000000002</v>
      </c>
      <c r="AR15" s="46">
        <f>+SUMIFS(North!15:15,North!$3:$3,'Segments USD'!AR$3)</f>
        <v>270.73899999999998</v>
      </c>
      <c r="AS15" s="46">
        <f>+SUMIFS(North!15:15,North!$3:$3,'Segments USD'!AS$3)</f>
        <v>54.280999999999999</v>
      </c>
      <c r="AT15" s="46">
        <f>+SUMIFS(North!15:15,North!$3:$3,'Segments USD'!AT$3)</f>
        <v>211.03915499999999</v>
      </c>
      <c r="AU15" s="46">
        <f>+SUMIFS(North!15:15,North!$3:$3,'Segments USD'!AU$3)</f>
        <v>408.51600000000002</v>
      </c>
      <c r="AV15" s="46">
        <f>+SUMIFS(North!15:15,North!$3:$3,'Segments USD'!AV$3)</f>
        <v>270.73899999999998</v>
      </c>
      <c r="AW15" s="46">
        <f>+SUMIFS(North!15:15,North!$3:$3,'Segments USD'!AW$3)</f>
        <v>54.280999999999999</v>
      </c>
      <c r="AX15" s="46">
        <f>+SUMIFS(North!15:15,North!$3:$3,'Segments USD'!AX$3)</f>
        <v>211.03915499999999</v>
      </c>
      <c r="AY15" s="46">
        <f>+SUMIFS(North!15:15,North!$3:$3,'Segments USD'!AY$3)</f>
        <v>408.51600000000002</v>
      </c>
      <c r="AZ15" s="46">
        <f>+SUMIFS(North!15:15,North!$3:$3,'Segments USD'!AZ$3)</f>
        <v>270.73899999999998</v>
      </c>
      <c r="BA15" s="46">
        <f>+SUMIFS(North!15:15,North!$3:$3,'Segments USD'!BA$3)</f>
        <v>54.280999999999999</v>
      </c>
      <c r="BB15" s="8" t="s">
        <v>75</v>
      </c>
    </row>
    <row r="16" spans="1:54" s="2" customFormat="1" x14ac:dyDescent="0.2">
      <c r="B16" s="2" t="s">
        <v>7</v>
      </c>
      <c r="C16" s="45" t="s">
        <v>201</v>
      </c>
      <c r="F16" s="13">
        <f t="shared" si="9"/>
        <v>2078.1085640000001</v>
      </c>
      <c r="G16" s="13">
        <f t="shared" si="9"/>
        <v>2180.0912234000002</v>
      </c>
      <c r="H16" s="13">
        <f t="shared" si="9"/>
        <v>1889.3910130816328</v>
      </c>
      <c r="I16" s="13">
        <f t="shared" ca="1" si="9"/>
        <v>2040.0008637357143</v>
      </c>
      <c r="J16" s="13">
        <f t="shared" ca="1" si="9"/>
        <v>2116.1763689225004</v>
      </c>
      <c r="K16" s="13">
        <f t="shared" ca="1" si="9"/>
        <v>2159.2997343780621</v>
      </c>
      <c r="L16" s="13">
        <f t="shared" ca="1" si="9"/>
        <v>2203.4033735323392</v>
      </c>
      <c r="M16" s="13">
        <f t="shared" ca="1" si="9"/>
        <v>2248.5108151234208</v>
      </c>
      <c r="N16" s="13">
        <f t="shared" ca="1" si="9"/>
        <v>2294.6461663268069</v>
      </c>
      <c r="P16" s="131">
        <f t="shared" ca="1" si="12"/>
        <v>2.3804596723069782E-2</v>
      </c>
      <c r="R16" s="13">
        <f t="shared" ref="R16:AC16" si="13">+R17+R18+R19+R20</f>
        <v>434.09314000000001</v>
      </c>
      <c r="S16" s="13">
        <f t="shared" si="13"/>
        <v>639.53495599999997</v>
      </c>
      <c r="T16" s="13">
        <f t="shared" si="13"/>
        <v>569.10578300000009</v>
      </c>
      <c r="U16" s="13">
        <f t="shared" si="13"/>
        <v>435.374685</v>
      </c>
      <c r="V16" s="13">
        <f t="shared" si="13"/>
        <v>594.40094700000009</v>
      </c>
      <c r="W16" s="13">
        <f t="shared" si="13"/>
        <v>658.61110099999996</v>
      </c>
      <c r="X16" s="13">
        <f t="shared" si="13"/>
        <v>675.32784700000002</v>
      </c>
      <c r="Y16" s="13">
        <f t="shared" si="13"/>
        <v>251.75132839999998</v>
      </c>
      <c r="Z16" s="13">
        <f t="shared" si="13"/>
        <v>456.21798708163266</v>
      </c>
      <c r="AA16" s="13">
        <f t="shared" si="13"/>
        <v>637.77903800000001</v>
      </c>
      <c r="AB16" s="13">
        <f t="shared" si="13"/>
        <v>564.76443899999992</v>
      </c>
      <c r="AC16" s="13">
        <f t="shared" si="13"/>
        <v>230.62954899999997</v>
      </c>
      <c r="AD16" s="13">
        <f t="shared" ref="AD16:BA16" ca="1" si="14">+AD17+AD18+AD19+AD20</f>
        <v>491.36938643571432</v>
      </c>
      <c r="AE16" s="13">
        <f t="shared" ca="1" si="14"/>
        <v>691.75808990000007</v>
      </c>
      <c r="AF16" s="13">
        <f t="shared" ca="1" si="14"/>
        <v>612.92816094999989</v>
      </c>
      <c r="AG16" s="13">
        <f t="shared" ca="1" si="14"/>
        <v>243.94522645000001</v>
      </c>
      <c r="AH16" s="13">
        <f t="shared" ca="1" si="14"/>
        <v>510.26122575749997</v>
      </c>
      <c r="AI16" s="13">
        <f t="shared" ca="1" si="14"/>
        <v>716.18454839500021</v>
      </c>
      <c r="AJ16" s="13">
        <f t="shared" ca="1" si="14"/>
        <v>634.40883899750008</v>
      </c>
      <c r="AK16" s="13">
        <f t="shared" ca="1" si="14"/>
        <v>255.32175577250004</v>
      </c>
      <c r="AL16" s="13">
        <f t="shared" ca="1" si="14"/>
        <v>520.86773278893747</v>
      </c>
      <c r="AM16" s="13">
        <f t="shared" ca="1" si="14"/>
        <v>730.24051443237511</v>
      </c>
      <c r="AN16" s="13">
        <f t="shared" ca="1" si="14"/>
        <v>646.79753973493735</v>
      </c>
      <c r="AO16" s="13">
        <f t="shared" ca="1" si="14"/>
        <v>261.39394742181247</v>
      </c>
      <c r="AP16" s="13">
        <f t="shared" ca="1" si="14"/>
        <v>531.71790226003577</v>
      </c>
      <c r="AQ16" s="13">
        <f t="shared" ca="1" si="14"/>
        <v>744.60939314395932</v>
      </c>
      <c r="AR16" s="13">
        <f t="shared" ca="1" si="14"/>
        <v>659.46124278843592</v>
      </c>
      <c r="AS16" s="13">
        <f t="shared" ca="1" si="14"/>
        <v>267.61483533990781</v>
      </c>
      <c r="AT16" s="13">
        <f t="shared" ca="1" si="14"/>
        <v>542.8176107294255</v>
      </c>
      <c r="AU16" s="13">
        <f t="shared" ca="1" si="14"/>
        <v>759.29862248184111</v>
      </c>
      <c r="AV16" s="13">
        <f t="shared" ca="1" si="14"/>
        <v>672.40647606387313</v>
      </c>
      <c r="AW16" s="13">
        <f t="shared" ca="1" si="14"/>
        <v>273.98810584828095</v>
      </c>
      <c r="AX16" s="13">
        <f t="shared" ca="1" si="14"/>
        <v>554.17287951967865</v>
      </c>
      <c r="AY16" s="13">
        <f t="shared" ca="1" si="14"/>
        <v>774.31582249826261</v>
      </c>
      <c r="AZ16" s="13">
        <f t="shared" ca="1" si="14"/>
        <v>685.63992719325336</v>
      </c>
      <c r="BA16" s="13">
        <f t="shared" ca="1" si="14"/>
        <v>280.51753711561224</v>
      </c>
      <c r="BB16" s="83" t="s">
        <v>75</v>
      </c>
    </row>
    <row r="17" spans="1:54" x14ac:dyDescent="0.2">
      <c r="B17" s="19" t="s">
        <v>13</v>
      </c>
      <c r="C17" s="45" t="s">
        <v>201</v>
      </c>
      <c r="D17" s="2"/>
      <c r="E17" s="2"/>
      <c r="F17" s="11">
        <f t="shared" si="9"/>
        <v>674.13200000000006</v>
      </c>
      <c r="G17" s="11">
        <f t="shared" si="9"/>
        <v>424.44200000000001</v>
      </c>
      <c r="H17" s="11">
        <f t="shared" si="9"/>
        <v>561.40300000000002</v>
      </c>
      <c r="I17" s="11">
        <f t="shared" ca="1" si="9"/>
        <v>645.61344999999994</v>
      </c>
      <c r="J17" s="11">
        <f t="shared" ca="1" si="9"/>
        <v>652.06958450000002</v>
      </c>
      <c r="K17" s="11">
        <f t="shared" ca="1" si="9"/>
        <v>658.590280345</v>
      </c>
      <c r="L17" s="11">
        <f t="shared" ca="1" si="9"/>
        <v>665.17618314844992</v>
      </c>
      <c r="M17" s="11">
        <f t="shared" ca="1" si="9"/>
        <v>671.8279449799345</v>
      </c>
      <c r="N17" s="11">
        <f t="shared" ca="1" si="9"/>
        <v>678.5462244297338</v>
      </c>
      <c r="P17" s="97">
        <f t="shared" ca="1" si="12"/>
        <v>1.0000000000000009E-2</v>
      </c>
      <c r="R17" s="46">
        <f>+SUMIFS(South!17:17,South!$3:$3,'Segments USD'!R$3)</f>
        <v>169.81399999999999</v>
      </c>
      <c r="S17" s="46">
        <f>+SUMIFS(South!17:17,South!$3:$3,'Segments USD'!S$3)</f>
        <v>143.31399999999999</v>
      </c>
      <c r="T17" s="46">
        <f>+SUMIFS(South!17:17,South!$3:$3,'Segments USD'!T$3)</f>
        <v>157.85300000000001</v>
      </c>
      <c r="U17" s="46">
        <f>+SUMIFS(South!17:17,South!$3:$3,'Segments USD'!U$3)</f>
        <v>203.15100000000001</v>
      </c>
      <c r="V17" s="46">
        <f>+SUMIFS(South!17:17,South!$3:$3,'Segments USD'!V$3)</f>
        <v>118.34</v>
      </c>
      <c r="W17" s="46">
        <f>+SUMIFS(South!17:17,South!$3:$3,'Segments USD'!W$3)</f>
        <v>166.41399999999999</v>
      </c>
      <c r="X17" s="46">
        <f>+SUMIFS(South!17:17,South!$3:$3,'Segments USD'!X$3)</f>
        <v>139.68799999999999</v>
      </c>
      <c r="Y17" s="46">
        <f>+SUMIFS(South!17:17,South!$3:$3,'Segments USD'!Y$3)</f>
        <v>0</v>
      </c>
      <c r="Z17" s="46">
        <f>+SUMIFS(South!17:17,South!$3:$3,'Segments USD'!Z$3)</f>
        <v>123.405</v>
      </c>
      <c r="AA17" s="46">
        <f>+SUMIFS(South!17:17,South!$3:$3,'Segments USD'!AA$3)</f>
        <v>220.90100000000001</v>
      </c>
      <c r="AB17" s="46">
        <f>+SUMIFS(South!17:17,South!$3:$3,'Segments USD'!AB$3)</f>
        <v>199.255</v>
      </c>
      <c r="AC17" s="46">
        <f>+SUMIFS(South!17:17,South!$3:$3,'Segments USD'!AC$3)</f>
        <v>17.841999999999999</v>
      </c>
      <c r="AD17" s="46">
        <f ca="1">+SUMIFS(South!17:17,South!$3:$3,'Segments USD'!AD$3)</f>
        <v>141.91575</v>
      </c>
      <c r="AE17" s="46">
        <f ca="1">+SUMIFS(South!17:17,South!$3:$3,'Segments USD'!AE$3)</f>
        <v>254.03614999999999</v>
      </c>
      <c r="AF17" s="46">
        <f ca="1">+SUMIFS(South!17:17,South!$3:$3,'Segments USD'!AF$3)</f>
        <v>229.14324999999997</v>
      </c>
      <c r="AG17" s="46">
        <f ca="1">+SUMIFS(South!17:17,South!$3:$3,'Segments USD'!AG$3)</f>
        <v>20.518299999999996</v>
      </c>
      <c r="AH17" s="46">
        <f ca="1">+SUMIFS(South!17:17,South!$3:$3,'Segments USD'!AH$3)</f>
        <v>143.33490750000001</v>
      </c>
      <c r="AI17" s="46">
        <f ca="1">+SUMIFS(South!17:17,South!$3:$3,'Segments USD'!AI$3)</f>
        <v>256.57651149999998</v>
      </c>
      <c r="AJ17" s="46">
        <f ca="1">+SUMIFS(South!17:17,South!$3:$3,'Segments USD'!AJ$3)</f>
        <v>231.43468249999998</v>
      </c>
      <c r="AK17" s="46">
        <f ca="1">+SUMIFS(South!17:17,South!$3:$3,'Segments USD'!AK$3)</f>
        <v>20.723482999999998</v>
      </c>
      <c r="AL17" s="46">
        <f ca="1">+SUMIFS(South!17:17,South!$3:$3,'Segments USD'!AL$3)</f>
        <v>144.76825657500001</v>
      </c>
      <c r="AM17" s="46">
        <f ca="1">+SUMIFS(South!17:17,South!$3:$3,'Segments USD'!AM$3)</f>
        <v>259.14227661499996</v>
      </c>
      <c r="AN17" s="46">
        <f ca="1">+SUMIFS(South!17:17,South!$3:$3,'Segments USD'!AN$3)</f>
        <v>233.74902932499998</v>
      </c>
      <c r="AO17" s="46">
        <f ca="1">+SUMIFS(South!17:17,South!$3:$3,'Segments USD'!AO$3)</f>
        <v>20.930717829999999</v>
      </c>
      <c r="AP17" s="46">
        <f ca="1">+SUMIFS(South!17:17,South!$3:$3,'Segments USD'!AP$3)</f>
        <v>146.21593914075001</v>
      </c>
      <c r="AQ17" s="46">
        <f ca="1">+SUMIFS(South!17:17,South!$3:$3,'Segments USD'!AQ$3)</f>
        <v>261.73369938114996</v>
      </c>
      <c r="AR17" s="46">
        <f ca="1">+SUMIFS(South!17:17,South!$3:$3,'Segments USD'!AR$3)</f>
        <v>236.08651961824998</v>
      </c>
      <c r="AS17" s="46">
        <f ca="1">+SUMIFS(South!17:17,South!$3:$3,'Segments USD'!AS$3)</f>
        <v>21.1400250083</v>
      </c>
      <c r="AT17" s="46">
        <f ca="1">+SUMIFS(South!17:17,South!$3:$3,'Segments USD'!AT$3)</f>
        <v>147.67809853215752</v>
      </c>
      <c r="AU17" s="46">
        <f ca="1">+SUMIFS(South!17:17,South!$3:$3,'Segments USD'!AU$3)</f>
        <v>264.35103637496144</v>
      </c>
      <c r="AV17" s="46">
        <f ca="1">+SUMIFS(South!17:17,South!$3:$3,'Segments USD'!AV$3)</f>
        <v>238.4473848144325</v>
      </c>
      <c r="AW17" s="46">
        <f ca="1">+SUMIFS(South!17:17,South!$3:$3,'Segments USD'!AW$3)</f>
        <v>21.351425258382999</v>
      </c>
      <c r="AX17" s="46">
        <f ca="1">+SUMIFS(South!17:17,South!$3:$3,'Segments USD'!AX$3)</f>
        <v>149.15487951747909</v>
      </c>
      <c r="AY17" s="46">
        <f ca="1">+SUMIFS(South!17:17,South!$3:$3,'Segments USD'!AY$3)</f>
        <v>266.99454673871105</v>
      </c>
      <c r="AZ17" s="46">
        <f ca="1">+SUMIFS(South!17:17,South!$3:$3,'Segments USD'!AZ$3)</f>
        <v>240.83185866257682</v>
      </c>
      <c r="BA17" s="46">
        <f ca="1">+SUMIFS(South!17:17,South!$3:$3,'Segments USD'!BA$3)</f>
        <v>21.56493951096683</v>
      </c>
      <c r="BB17" s="8" t="s">
        <v>75</v>
      </c>
    </row>
    <row r="18" spans="1:54" x14ac:dyDescent="0.2">
      <c r="B18" s="19" t="s">
        <v>11</v>
      </c>
      <c r="C18" s="45" t="s">
        <v>201</v>
      </c>
      <c r="D18" s="2"/>
      <c r="E18" s="2"/>
      <c r="F18" s="11">
        <f t="shared" si="9"/>
        <v>872.35763199999997</v>
      </c>
      <c r="G18" s="11">
        <f t="shared" si="9"/>
        <v>948.65655140000001</v>
      </c>
      <c r="H18" s="11">
        <f t="shared" si="9"/>
        <v>1058.0132630000001</v>
      </c>
      <c r="I18" s="11">
        <f t="shared" ca="1" si="9"/>
        <v>1110.9139261500002</v>
      </c>
      <c r="J18" s="11">
        <f t="shared" ca="1" si="9"/>
        <v>1166.4596224575002</v>
      </c>
      <c r="K18" s="11">
        <f t="shared" ca="1" si="9"/>
        <v>1195.6211130189374</v>
      </c>
      <c r="L18" s="11">
        <f t="shared" ca="1" si="9"/>
        <v>1225.5116408444107</v>
      </c>
      <c r="M18" s="11">
        <f t="shared" ca="1" si="9"/>
        <v>1256.1494318655209</v>
      </c>
      <c r="N18" s="11">
        <f t="shared" ca="1" si="9"/>
        <v>1287.5531676621588</v>
      </c>
      <c r="P18" s="97">
        <f t="shared" ca="1" si="12"/>
        <v>2.9951921406725424E-2</v>
      </c>
      <c r="R18" s="46">
        <f>+SUMIFS(South!18:18,South!$3:$3,'Segments USD'!R$3)</f>
        <v>252.26501099999999</v>
      </c>
      <c r="S18" s="46">
        <f>+SUMIFS(South!18:18,South!$3:$3,'Segments USD'!S$3)</f>
        <v>398.35769799999997</v>
      </c>
      <c r="T18" s="46">
        <f>+SUMIFS(South!18:18,South!$3:$3,'Segments USD'!T$3)</f>
        <v>221.73492300000001</v>
      </c>
      <c r="U18" s="46">
        <f>+SUMIFS(South!18:18,South!$3:$3,'Segments USD'!U$3)</f>
        <v>0</v>
      </c>
      <c r="V18" s="46">
        <f>+SUMIFS(South!18:18,South!$3:$3,'Segments USD'!V$3)</f>
        <v>314.54494900000003</v>
      </c>
      <c r="W18" s="46">
        <f>+SUMIFS(South!18:18,South!$3:$3,'Segments USD'!W$3)</f>
        <v>300.069321</v>
      </c>
      <c r="X18" s="46">
        <f>+SUMIFS(South!18:18,South!$3:$3,'Segments USD'!X$3)</f>
        <v>225.00018699999998</v>
      </c>
      <c r="Y18" s="46">
        <f>+SUMIFS(South!18:18,South!$3:$3,'Segments USD'!Y$3)</f>
        <v>109.04209439999998</v>
      </c>
      <c r="Z18" s="46">
        <f>+SUMIFS(South!18:18,South!$3:$3,'Segments USD'!Z$3)</f>
        <v>250.68895499999999</v>
      </c>
      <c r="AA18" s="46">
        <f>+SUMIFS(South!18:18,South!$3:$3,'Segments USD'!AA$3)</f>
        <v>376.60776900000002</v>
      </c>
      <c r="AB18" s="46">
        <f>+SUMIFS(South!18:18,South!$3:$3,'Segments USD'!AB$3)</f>
        <v>316.67472900000001</v>
      </c>
      <c r="AC18" s="46">
        <f>+SUMIFS(South!18:18,South!$3:$3,'Segments USD'!AC$3)</f>
        <v>114.04181</v>
      </c>
      <c r="AD18" s="46">
        <f ca="1">+SUMIFS(South!18:18,South!$3:$3,'Segments USD'!AD$3)</f>
        <v>263.22340274999999</v>
      </c>
      <c r="AE18" s="46">
        <f ca="1">+SUMIFS(South!18:18,South!$3:$3,'Segments USD'!AE$3)</f>
        <v>395.43815745000006</v>
      </c>
      <c r="AF18" s="46">
        <f ca="1">+SUMIFS(South!18:18,South!$3:$3,'Segments USD'!AF$3)</f>
        <v>332.50846545000002</v>
      </c>
      <c r="AG18" s="46">
        <f ca="1">+SUMIFS(South!18:18,South!$3:$3,'Segments USD'!AG$3)</f>
        <v>119.74390050000001</v>
      </c>
      <c r="AH18" s="46">
        <f ca="1">+SUMIFS(South!18:18,South!$3:$3,'Segments USD'!AH$3)</f>
        <v>276.38457288749998</v>
      </c>
      <c r="AI18" s="46">
        <f ca="1">+SUMIFS(South!18:18,South!$3:$3,'Segments USD'!AI$3)</f>
        <v>415.2100653225001</v>
      </c>
      <c r="AJ18" s="46">
        <f ca="1">+SUMIFS(South!18:18,South!$3:$3,'Segments USD'!AJ$3)</f>
        <v>349.13388872250005</v>
      </c>
      <c r="AK18" s="46">
        <f ca="1">+SUMIFS(South!18:18,South!$3:$3,'Segments USD'!AK$3)</f>
        <v>125.73109552500001</v>
      </c>
      <c r="AL18" s="46">
        <f ca="1">+SUMIFS(South!18:18,South!$3:$3,'Segments USD'!AL$3)</f>
        <v>283.29418720968744</v>
      </c>
      <c r="AM18" s="46">
        <f ca="1">+SUMIFS(South!18:18,South!$3:$3,'Segments USD'!AM$3)</f>
        <v>425.59031695556257</v>
      </c>
      <c r="AN18" s="46">
        <f ca="1">+SUMIFS(South!18:18,South!$3:$3,'Segments USD'!AN$3)</f>
        <v>357.86223594056253</v>
      </c>
      <c r="AO18" s="46">
        <f ca="1">+SUMIFS(South!18:18,South!$3:$3,'Segments USD'!AO$3)</f>
        <v>128.874372913125</v>
      </c>
      <c r="AP18" s="46">
        <f ca="1">+SUMIFS(South!18:18,South!$3:$3,'Segments USD'!AP$3)</f>
        <v>290.37654188992957</v>
      </c>
      <c r="AQ18" s="46">
        <f ca="1">+SUMIFS(South!18:18,South!$3:$3,'Segments USD'!AQ$3)</f>
        <v>436.23007487945159</v>
      </c>
      <c r="AR18" s="46">
        <f ca="1">+SUMIFS(South!18:18,South!$3:$3,'Segments USD'!AR$3)</f>
        <v>366.80879183907655</v>
      </c>
      <c r="AS18" s="46">
        <f ca="1">+SUMIFS(South!18:18,South!$3:$3,'Segments USD'!AS$3)</f>
        <v>132.09623223595312</v>
      </c>
      <c r="AT18" s="46">
        <f ca="1">+SUMIFS(South!18:18,South!$3:$3,'Segments USD'!AT$3)</f>
        <v>297.63595543717776</v>
      </c>
      <c r="AU18" s="46">
        <f ca="1">+SUMIFS(South!18:18,South!$3:$3,'Segments USD'!AU$3)</f>
        <v>447.13582675143783</v>
      </c>
      <c r="AV18" s="46">
        <f ca="1">+SUMIFS(South!18:18,South!$3:$3,'Segments USD'!AV$3)</f>
        <v>375.97901163505344</v>
      </c>
      <c r="AW18" s="46">
        <f ca="1">+SUMIFS(South!18:18,South!$3:$3,'Segments USD'!AW$3)</f>
        <v>135.39863804185194</v>
      </c>
      <c r="AX18" s="46">
        <f ca="1">+SUMIFS(South!18:18,South!$3:$3,'Segments USD'!AX$3)</f>
        <v>305.07685432310717</v>
      </c>
      <c r="AY18" s="46">
        <f ca="1">+SUMIFS(South!18:18,South!$3:$3,'Segments USD'!AY$3)</f>
        <v>458.31422242022376</v>
      </c>
      <c r="AZ18" s="46">
        <f ca="1">+SUMIFS(South!18:18,South!$3:$3,'Segments USD'!AZ$3)</f>
        <v>385.37848692592974</v>
      </c>
      <c r="BA18" s="46">
        <f ca="1">+SUMIFS(South!18:18,South!$3:$3,'Segments USD'!BA$3)</f>
        <v>138.78360399289824</v>
      </c>
      <c r="BB18" s="8" t="s">
        <v>75</v>
      </c>
    </row>
    <row r="19" spans="1:54" x14ac:dyDescent="0.2">
      <c r="B19" s="19" t="s">
        <v>12</v>
      </c>
      <c r="C19" s="45" t="s">
        <v>201</v>
      </c>
      <c r="D19" s="2"/>
      <c r="E19" s="2"/>
      <c r="F19" s="11">
        <f t="shared" si="9"/>
        <v>237.95156</v>
      </c>
      <c r="G19" s="11">
        <f t="shared" si="9"/>
        <v>183.56224700000001</v>
      </c>
      <c r="H19" s="11">
        <f t="shared" si="9"/>
        <v>144.398619</v>
      </c>
      <c r="I19" s="11">
        <f t="shared" ca="1" si="9"/>
        <v>151.61854994999999</v>
      </c>
      <c r="J19" s="11">
        <f t="shared" ca="1" si="9"/>
        <v>159.19947744749999</v>
      </c>
      <c r="K19" s="11">
        <f t="shared" ca="1" si="9"/>
        <v>163.1794643836875</v>
      </c>
      <c r="L19" s="11">
        <f t="shared" ca="1" si="9"/>
        <v>167.25895099327965</v>
      </c>
      <c r="M19" s="11">
        <f t="shared" ca="1" si="9"/>
        <v>171.44042476811163</v>
      </c>
      <c r="N19" s="11">
        <f t="shared" ca="1" si="9"/>
        <v>175.72643538731438</v>
      </c>
      <c r="P19" s="97">
        <f t="shared" ca="1" si="12"/>
        <v>2.9951921406725424E-2</v>
      </c>
      <c r="R19" s="46">
        <f>+SUMIFS(South!19:19,South!$3:$3,'Segments USD'!R$3)</f>
        <v>0</v>
      </c>
      <c r="S19" s="46">
        <f>+SUMIFS(South!19:19,South!$3:$3,'Segments USD'!S$3)</f>
        <v>43.291029999999999</v>
      </c>
      <c r="T19" s="46">
        <f>+SUMIFS(South!19:19,South!$3:$3,'Segments USD'!T$3)</f>
        <v>96.144845000000004</v>
      </c>
      <c r="U19" s="46">
        <f>+SUMIFS(South!19:19,South!$3:$3,'Segments USD'!U$3)</f>
        <v>98.515684999999991</v>
      </c>
      <c r="V19" s="46">
        <f>+SUMIFS(South!19:19,South!$3:$3,'Segments USD'!V$3)</f>
        <v>0</v>
      </c>
      <c r="W19" s="46">
        <f>+SUMIFS(South!19:19,South!$3:$3,'Segments USD'!W$3)</f>
        <v>68.027456999999998</v>
      </c>
      <c r="X19" s="46">
        <f>+SUMIFS(South!19:19,South!$3:$3,'Segments USD'!X$3)</f>
        <v>71.693653999999995</v>
      </c>
      <c r="Y19" s="46">
        <f>+SUMIFS(South!19:19,South!$3:$3,'Segments USD'!Y$3)</f>
        <v>43.841135999999999</v>
      </c>
      <c r="Z19" s="46">
        <f>+SUMIFS(South!19:19,South!$3:$3,'Segments USD'!Z$3)</f>
        <v>20.161356000000001</v>
      </c>
      <c r="AA19" s="46">
        <f>+SUMIFS(South!19:19,South!$3:$3,'Segments USD'!AA$3)</f>
        <v>37.783009</v>
      </c>
      <c r="AB19" s="46">
        <f>+SUMIFS(South!19:19,South!$3:$3,'Segments USD'!AB$3)</f>
        <v>42.608039999999995</v>
      </c>
      <c r="AC19" s="46">
        <f>+SUMIFS(South!19:19,South!$3:$3,'Segments USD'!AC$3)</f>
        <v>43.846213999999989</v>
      </c>
      <c r="AD19" s="46">
        <f ca="1">+SUMIFS(South!19:19,South!$3:$3,'Segments USD'!AD$3)</f>
        <v>21.169423800000004</v>
      </c>
      <c r="AE19" s="46">
        <f ca="1">+SUMIFS(South!19:19,South!$3:$3,'Segments USD'!AE$3)</f>
        <v>39.672159450000002</v>
      </c>
      <c r="AF19" s="46">
        <f ca="1">+SUMIFS(South!19:19,South!$3:$3,'Segments USD'!AF$3)</f>
        <v>44.738441999999999</v>
      </c>
      <c r="AG19" s="46">
        <f ca="1">+SUMIFS(South!19:19,South!$3:$3,'Segments USD'!AG$3)</f>
        <v>46.038524699999989</v>
      </c>
      <c r="AH19" s="46">
        <f ca="1">+SUMIFS(South!19:19,South!$3:$3,'Segments USD'!AH$3)</f>
        <v>22.227894990000006</v>
      </c>
      <c r="AI19" s="46">
        <f ca="1">+SUMIFS(South!19:19,South!$3:$3,'Segments USD'!AI$3)</f>
        <v>41.655767422500006</v>
      </c>
      <c r="AJ19" s="46">
        <f ca="1">+SUMIFS(South!19:19,South!$3:$3,'Segments USD'!AJ$3)</f>
        <v>46.9753641</v>
      </c>
      <c r="AK19" s="46">
        <f ca="1">+SUMIFS(South!19:19,South!$3:$3,'Segments USD'!AK$3)</f>
        <v>48.340450934999993</v>
      </c>
      <c r="AL19" s="46">
        <f ca="1">+SUMIFS(South!19:19,South!$3:$3,'Segments USD'!AL$3)</f>
        <v>22.783592364750003</v>
      </c>
      <c r="AM19" s="46">
        <f ca="1">+SUMIFS(South!19:19,South!$3:$3,'Segments USD'!AM$3)</f>
        <v>42.697161608062501</v>
      </c>
      <c r="AN19" s="46">
        <f ca="1">+SUMIFS(South!19:19,South!$3:$3,'Segments USD'!AN$3)</f>
        <v>48.149748202499993</v>
      </c>
      <c r="AO19" s="46">
        <f ca="1">+SUMIFS(South!19:19,South!$3:$3,'Segments USD'!AO$3)</f>
        <v>49.548962208374988</v>
      </c>
      <c r="AP19" s="46">
        <f ca="1">+SUMIFS(South!19:19,South!$3:$3,'Segments USD'!AP$3)</f>
        <v>23.353182173868753</v>
      </c>
      <c r="AQ19" s="46">
        <f ca="1">+SUMIFS(South!19:19,South!$3:$3,'Segments USD'!AQ$3)</f>
        <v>43.764590648264061</v>
      </c>
      <c r="AR19" s="46">
        <f ca="1">+SUMIFS(South!19:19,South!$3:$3,'Segments USD'!AR$3)</f>
        <v>49.353491907562486</v>
      </c>
      <c r="AS19" s="46">
        <f ca="1">+SUMIFS(South!19:19,South!$3:$3,'Segments USD'!AS$3)</f>
        <v>50.787686263584355</v>
      </c>
      <c r="AT19" s="46">
        <f ca="1">+SUMIFS(South!19:19,South!$3:$3,'Segments USD'!AT$3)</f>
        <v>23.93701172821547</v>
      </c>
      <c r="AU19" s="46">
        <f ca="1">+SUMIFS(South!19:19,South!$3:$3,'Segments USD'!AU$3)</f>
        <v>44.858705414470656</v>
      </c>
      <c r="AV19" s="46">
        <f ca="1">+SUMIFS(South!19:19,South!$3:$3,'Segments USD'!AV$3)</f>
        <v>50.587329205251542</v>
      </c>
      <c r="AW19" s="46">
        <f ca="1">+SUMIFS(South!19:19,South!$3:$3,'Segments USD'!AW$3)</f>
        <v>52.057378420173961</v>
      </c>
      <c r="AX19" s="46">
        <f ca="1">+SUMIFS(South!19:19,South!$3:$3,'Segments USD'!AX$3)</f>
        <v>24.535437021420854</v>
      </c>
      <c r="AY19" s="46">
        <f ca="1">+SUMIFS(South!19:19,South!$3:$3,'Segments USD'!AY$3)</f>
        <v>45.980173049832416</v>
      </c>
      <c r="AZ19" s="46">
        <f ca="1">+SUMIFS(South!19:19,South!$3:$3,'Segments USD'!AZ$3)</f>
        <v>51.852012435382825</v>
      </c>
      <c r="BA19" s="46">
        <f ca="1">+SUMIFS(South!19:19,South!$3:$3,'Segments USD'!BA$3)</f>
        <v>53.358812880678308</v>
      </c>
      <c r="BB19" s="8" t="s">
        <v>75</v>
      </c>
    </row>
    <row r="20" spans="1:54" x14ac:dyDescent="0.2">
      <c r="B20" s="19" t="s">
        <v>14</v>
      </c>
      <c r="C20" s="45" t="s">
        <v>201</v>
      </c>
      <c r="D20" s="2"/>
      <c r="E20" s="2"/>
      <c r="F20" s="11">
        <f t="shared" si="9"/>
        <v>293.667372</v>
      </c>
      <c r="G20" s="11">
        <f t="shared" si="9"/>
        <v>623.43042500000013</v>
      </c>
      <c r="H20" s="11">
        <f t="shared" si="9"/>
        <v>125.57613108163267</v>
      </c>
      <c r="I20" s="11">
        <f t="shared" ca="1" si="9"/>
        <v>131.85493763571429</v>
      </c>
      <c r="J20" s="11">
        <f t="shared" ca="1" si="9"/>
        <v>138.44768451750005</v>
      </c>
      <c r="K20" s="11">
        <f t="shared" ca="1" si="9"/>
        <v>141.90887663043753</v>
      </c>
      <c r="L20" s="11">
        <f t="shared" ca="1" si="9"/>
        <v>145.45659854619845</v>
      </c>
      <c r="M20" s="11">
        <f t="shared" ca="1" si="9"/>
        <v>149.09301350985339</v>
      </c>
      <c r="N20" s="11">
        <f t="shared" ca="1" si="9"/>
        <v>152.82033884759971</v>
      </c>
      <c r="P20" s="97">
        <f t="shared" ca="1" si="12"/>
        <v>2.9951921406725424E-2</v>
      </c>
      <c r="R20" s="46">
        <f>+SUMIFS(South!20:20,South!$3:$3,'Segments USD'!R$3)</f>
        <v>12.014129000000001</v>
      </c>
      <c r="S20" s="46">
        <f>+SUMIFS(South!20:20,South!$3:$3,'Segments USD'!S$3)</f>
        <v>54.572227999999996</v>
      </c>
      <c r="T20" s="46">
        <f>+SUMIFS(South!20:20,South!$3:$3,'Segments USD'!T$3)</f>
        <v>93.373014999999981</v>
      </c>
      <c r="U20" s="46">
        <f>+SUMIFS(South!20:20,South!$3:$3,'Segments USD'!U$3)</f>
        <v>133.708</v>
      </c>
      <c r="V20" s="46">
        <f>+SUMIFS(South!20:20,South!$3:$3,'Segments USD'!V$3)</f>
        <v>161.51599800000002</v>
      </c>
      <c r="W20" s="46">
        <f>+SUMIFS(South!20:20,South!$3:$3,'Segments USD'!W$3)</f>
        <v>124.100323</v>
      </c>
      <c r="X20" s="46">
        <f>+SUMIFS(South!20:20,South!$3:$3,'Segments USD'!X$3)</f>
        <v>238.94600600000001</v>
      </c>
      <c r="Y20" s="46">
        <f>+SUMIFS(South!20:20,South!$3:$3,'Segments USD'!Y$3)</f>
        <v>98.868098000000003</v>
      </c>
      <c r="Z20" s="46">
        <f>+SUMIFS(South!20:20,South!$3:$3,'Segments USD'!Z$3)</f>
        <v>61.962676081632672</v>
      </c>
      <c r="AA20" s="46">
        <f>+SUMIFS(South!20:20,South!$3:$3,'Segments USD'!AA$3)</f>
        <v>2.48726</v>
      </c>
      <c r="AB20" s="46">
        <f>+SUMIFS(South!20:20,South!$3:$3,'Segments USD'!AB$3)</f>
        <v>6.2266700000000004</v>
      </c>
      <c r="AC20" s="46">
        <f>+SUMIFS(South!20:20,South!$3:$3,'Segments USD'!AC$3)</f>
        <v>54.899525000000004</v>
      </c>
      <c r="AD20" s="46">
        <f ca="1">+SUMIFS(South!20:20,South!$3:$3,'Segments USD'!AD$3)</f>
        <v>65.060809885714306</v>
      </c>
      <c r="AE20" s="46">
        <f ca="1">+SUMIFS(South!20:20,South!$3:$3,'Segments USD'!AE$3)</f>
        <v>2.6116230000000002</v>
      </c>
      <c r="AF20" s="46">
        <f ca="1">+SUMIFS(South!20:20,South!$3:$3,'Segments USD'!AF$3)</f>
        <v>6.5380035000000003</v>
      </c>
      <c r="AG20" s="46">
        <f ca="1">+SUMIFS(South!20:20,South!$3:$3,'Segments USD'!AG$3)</f>
        <v>57.644501250000005</v>
      </c>
      <c r="AH20" s="46">
        <f ca="1">+SUMIFS(South!20:20,South!$3:$3,'Segments USD'!AH$3)</f>
        <v>68.313850380000019</v>
      </c>
      <c r="AI20" s="46">
        <f ca="1">+SUMIFS(South!20:20,South!$3:$3,'Segments USD'!AI$3)</f>
        <v>2.7422041500000005</v>
      </c>
      <c r="AJ20" s="46">
        <f ca="1">+SUMIFS(South!20:20,South!$3:$3,'Segments USD'!AJ$3)</f>
        <v>6.8649036750000008</v>
      </c>
      <c r="AK20" s="46">
        <f ca="1">+SUMIFS(South!20:20,South!$3:$3,'Segments USD'!AK$3)</f>
        <v>60.52672631250001</v>
      </c>
      <c r="AL20" s="46">
        <f ca="1">+SUMIFS(South!20:20,South!$3:$3,'Segments USD'!AL$3)</f>
        <v>70.021696639500007</v>
      </c>
      <c r="AM20" s="46">
        <f ca="1">+SUMIFS(South!20:20,South!$3:$3,'Segments USD'!AM$3)</f>
        <v>2.8107592537500001</v>
      </c>
      <c r="AN20" s="46">
        <f ca="1">+SUMIFS(South!20:20,South!$3:$3,'Segments USD'!AN$3)</f>
        <v>7.0365262668750006</v>
      </c>
      <c r="AO20" s="46">
        <f ca="1">+SUMIFS(South!20:20,South!$3:$3,'Segments USD'!AO$3)</f>
        <v>62.039894470312504</v>
      </c>
      <c r="AP20" s="46">
        <f ca="1">+SUMIFS(South!20:20,South!$3:$3,'Segments USD'!AP$3)</f>
        <v>71.772239055487503</v>
      </c>
      <c r="AQ20" s="46">
        <f ca="1">+SUMIFS(South!20:20,South!$3:$3,'Segments USD'!AQ$3)</f>
        <v>2.8810282350937499</v>
      </c>
      <c r="AR20" s="46">
        <f ca="1">+SUMIFS(South!20:20,South!$3:$3,'Segments USD'!AR$3)</f>
        <v>7.2124394235468747</v>
      </c>
      <c r="AS20" s="46">
        <f ca="1">+SUMIFS(South!20:20,South!$3:$3,'Segments USD'!AS$3)</f>
        <v>63.590891832070312</v>
      </c>
      <c r="AT20" s="46">
        <f ca="1">+SUMIFS(South!20:20,South!$3:$3,'Segments USD'!AT$3)</f>
        <v>73.566545031874682</v>
      </c>
      <c r="AU20" s="46">
        <f ca="1">+SUMIFS(South!20:20,South!$3:$3,'Segments USD'!AU$3)</f>
        <v>2.9530539409710936</v>
      </c>
      <c r="AV20" s="46">
        <f ca="1">+SUMIFS(South!20:20,South!$3:$3,'Segments USD'!AV$3)</f>
        <v>7.3927504091355463</v>
      </c>
      <c r="AW20" s="46">
        <f ca="1">+SUMIFS(South!20:20,South!$3:$3,'Segments USD'!AW$3)</f>
        <v>65.180664127872063</v>
      </c>
      <c r="AX20" s="46">
        <f ca="1">+SUMIFS(South!20:20,South!$3:$3,'Segments USD'!AX$3)</f>
        <v>75.405708657671539</v>
      </c>
      <c r="AY20" s="46">
        <f ca="1">+SUMIFS(South!20:20,South!$3:$3,'Segments USD'!AY$3)</f>
        <v>3.0268802894953706</v>
      </c>
      <c r="AZ20" s="46">
        <f ca="1">+SUMIFS(South!20:20,South!$3:$3,'Segments USD'!AZ$3)</f>
        <v>7.577569169363934</v>
      </c>
      <c r="BA20" s="46">
        <f ca="1">+SUMIFS(South!20:20,South!$3:$3,'Segments USD'!BA$3)</f>
        <v>66.810180731068854</v>
      </c>
      <c r="BB20" s="8" t="s">
        <v>75</v>
      </c>
    </row>
    <row r="21" spans="1:54" s="2" customFormat="1" x14ac:dyDescent="0.2">
      <c r="B21" s="2" t="s">
        <v>8</v>
      </c>
      <c r="C21" s="45" t="s">
        <v>201</v>
      </c>
      <c r="F21" s="13">
        <f t="shared" si="9"/>
        <v>2836.3729999999996</v>
      </c>
      <c r="G21" s="13">
        <f t="shared" si="9"/>
        <v>3672.8781899999994</v>
      </c>
      <c r="H21" s="13">
        <f t="shared" si="9"/>
        <v>3358.49757</v>
      </c>
      <c r="I21" s="13">
        <f t="shared" ca="1" si="9"/>
        <v>3425.6675213999997</v>
      </c>
      <c r="J21" s="13">
        <f t="shared" ca="1" si="9"/>
        <v>3494.1808718279999</v>
      </c>
      <c r="K21" s="13">
        <f t="shared" ca="1" si="9"/>
        <v>3564.0644892645601</v>
      </c>
      <c r="L21" s="13">
        <f t="shared" ca="1" si="9"/>
        <v>3635.3457790498514</v>
      </c>
      <c r="M21" s="13">
        <f t="shared" ca="1" si="9"/>
        <v>3708.0526946308482</v>
      </c>
      <c r="N21" s="13">
        <f t="shared" ca="1" si="9"/>
        <v>3782.2137485234653</v>
      </c>
      <c r="P21" s="131">
        <f t="shared" ca="1" si="12"/>
        <v>2.0000000000000018E-2</v>
      </c>
      <c r="R21" s="13">
        <f t="shared" ref="R21:AC21" si="15">+R22+R23</f>
        <v>854.26400000000001</v>
      </c>
      <c r="S21" s="13">
        <f t="shared" si="15"/>
        <v>467.31200000000001</v>
      </c>
      <c r="T21" s="13">
        <f t="shared" si="15"/>
        <v>779.32299999999998</v>
      </c>
      <c r="U21" s="13">
        <f t="shared" si="15"/>
        <v>735.47399999999993</v>
      </c>
      <c r="V21" s="13">
        <f t="shared" si="15"/>
        <v>681.69042000000013</v>
      </c>
      <c r="W21" s="13">
        <f t="shared" si="15"/>
        <v>820.16552999999999</v>
      </c>
      <c r="X21" s="13">
        <f t="shared" si="15"/>
        <v>972.25004999999987</v>
      </c>
      <c r="Y21" s="13">
        <f t="shared" si="15"/>
        <v>1198.7721899999999</v>
      </c>
      <c r="Z21" s="13">
        <f t="shared" si="15"/>
        <v>1040.6108299999999</v>
      </c>
      <c r="AA21" s="13">
        <f t="shared" si="15"/>
        <v>817.57574</v>
      </c>
      <c r="AB21" s="13">
        <f t="shared" si="15"/>
        <v>1039.6507000000001</v>
      </c>
      <c r="AC21" s="13">
        <f t="shared" si="15"/>
        <v>460.66030000000001</v>
      </c>
      <c r="AD21" s="13">
        <f t="shared" ref="AD21:BA21" ca="1" si="16">+AD22+AD23</f>
        <v>1061.4230465999999</v>
      </c>
      <c r="AE21" s="13">
        <f t="shared" ca="1" si="16"/>
        <v>833.92725480000001</v>
      </c>
      <c r="AF21" s="13">
        <f t="shared" ca="1" si="16"/>
        <v>1060.4437140000002</v>
      </c>
      <c r="AG21" s="13">
        <f t="shared" ca="1" si="16"/>
        <v>469.87350600000002</v>
      </c>
      <c r="AH21" s="13">
        <f t="shared" ca="1" si="16"/>
        <v>1082.6515075319999</v>
      </c>
      <c r="AI21" s="13">
        <f t="shared" ca="1" si="16"/>
        <v>850.60579989600001</v>
      </c>
      <c r="AJ21" s="13">
        <f t="shared" ca="1" si="16"/>
        <v>1081.6525882800001</v>
      </c>
      <c r="AK21" s="13">
        <f t="shared" ca="1" si="16"/>
        <v>479.27097612000006</v>
      </c>
      <c r="AL21" s="13">
        <f t="shared" ca="1" si="16"/>
        <v>1104.3045376826399</v>
      </c>
      <c r="AM21" s="13">
        <f t="shared" ca="1" si="16"/>
        <v>867.61791589391999</v>
      </c>
      <c r="AN21" s="13">
        <f t="shared" ca="1" si="16"/>
        <v>1103.2856400456001</v>
      </c>
      <c r="AO21" s="13">
        <f t="shared" ca="1" si="16"/>
        <v>488.85639564240006</v>
      </c>
      <c r="AP21" s="13">
        <f t="shared" ca="1" si="16"/>
        <v>1126.3906284362927</v>
      </c>
      <c r="AQ21" s="13">
        <f t="shared" ca="1" si="16"/>
        <v>884.97027421179837</v>
      </c>
      <c r="AR21" s="13">
        <f t="shared" ca="1" si="16"/>
        <v>1125.3513528465121</v>
      </c>
      <c r="AS21" s="13">
        <f t="shared" ca="1" si="16"/>
        <v>498.63352355524808</v>
      </c>
      <c r="AT21" s="13">
        <f t="shared" ca="1" si="16"/>
        <v>1148.9184410050186</v>
      </c>
      <c r="AU21" s="13">
        <f t="shared" ca="1" si="16"/>
        <v>902.66967969603434</v>
      </c>
      <c r="AV21" s="13">
        <f t="shared" ca="1" si="16"/>
        <v>1147.8583799034423</v>
      </c>
      <c r="AW21" s="13">
        <f t="shared" ca="1" si="16"/>
        <v>508.60619402635302</v>
      </c>
      <c r="AX21" s="13">
        <f t="shared" ca="1" si="16"/>
        <v>1171.8968098251189</v>
      </c>
      <c r="AY21" s="13">
        <f t="shared" ca="1" si="16"/>
        <v>920.7230732899551</v>
      </c>
      <c r="AZ21" s="13">
        <f t="shared" ca="1" si="16"/>
        <v>1170.8155475015112</v>
      </c>
      <c r="BA21" s="13">
        <f t="shared" ca="1" si="16"/>
        <v>518.77831790688015</v>
      </c>
      <c r="BB21" s="83" t="s">
        <v>75</v>
      </c>
    </row>
    <row r="22" spans="1:54" x14ac:dyDescent="0.2">
      <c r="B22" s="19" t="s">
        <v>15</v>
      </c>
      <c r="C22" s="45" t="s">
        <v>201</v>
      </c>
      <c r="D22" s="2"/>
      <c r="E22" s="2"/>
      <c r="F22" s="11">
        <f t="shared" ref="F22:N30" si="17">+SUMIFS(22:22,$6:$6,F$3)</f>
        <v>2377.1930000000002</v>
      </c>
      <c r="G22" s="11">
        <f t="shared" si="17"/>
        <v>3200.4921899999999</v>
      </c>
      <c r="H22" s="11">
        <f t="shared" si="17"/>
        <v>3358.49757</v>
      </c>
      <c r="I22" s="11">
        <f t="shared" ca="1" si="17"/>
        <v>3425.6675213999997</v>
      </c>
      <c r="J22" s="11">
        <f t="shared" ca="1" si="17"/>
        <v>3494.1808718279999</v>
      </c>
      <c r="K22" s="11">
        <f t="shared" ca="1" si="17"/>
        <v>3564.0644892645601</v>
      </c>
      <c r="L22" s="11">
        <f t="shared" ca="1" si="17"/>
        <v>3635.3457790498514</v>
      </c>
      <c r="M22" s="11">
        <f t="shared" ca="1" si="17"/>
        <v>3708.0526946308482</v>
      </c>
      <c r="N22" s="11">
        <f t="shared" ca="1" si="17"/>
        <v>3782.2137485234653</v>
      </c>
      <c r="P22" s="97">
        <f t="shared" ca="1" si="12"/>
        <v>2.0000000000000018E-2</v>
      </c>
      <c r="R22" s="46">
        <f>+SUMIFS('Costal Nav'!17:17,'Costal Nav'!$3:$3,'Segments USD'!R$3)</f>
        <v>614.91200000000003</v>
      </c>
      <c r="S22" s="46">
        <f>+SUMIFS('Costal Nav'!17:17,'Costal Nav'!$3:$3,'Segments USD'!S$3)</f>
        <v>446.10599999999999</v>
      </c>
      <c r="T22" s="46">
        <f>+SUMIFS('Costal Nav'!17:17,'Costal Nav'!$3:$3,'Segments USD'!T$3)</f>
        <v>743.71299999999997</v>
      </c>
      <c r="U22" s="46">
        <f>+SUMIFS('Costal Nav'!17:17,'Costal Nav'!$3:$3,'Segments USD'!U$3)</f>
        <v>572.46199999999999</v>
      </c>
      <c r="V22" s="46">
        <f>+SUMIFS('Costal Nav'!17:17,'Costal Nav'!$3:$3,'Segments USD'!V$3)</f>
        <v>521.1774200000001</v>
      </c>
      <c r="W22" s="46">
        <f>+SUMIFS('Costal Nav'!17:17,'Costal Nav'!$3:$3,'Segments USD'!W$3)</f>
        <v>744.81452999999999</v>
      </c>
      <c r="X22" s="46">
        <f>+SUMIFS('Costal Nav'!17:17,'Costal Nav'!$3:$3,'Segments USD'!X$3)</f>
        <v>892.9700499999999</v>
      </c>
      <c r="Y22" s="46">
        <f>+SUMIFS('Costal Nav'!17:17,'Costal Nav'!$3:$3,'Segments USD'!Y$3)</f>
        <v>1041.5301899999999</v>
      </c>
      <c r="Z22" s="46">
        <f>+SUMIFS('Costal Nav'!17:17,'Costal Nav'!$3:$3,'Segments USD'!Z$3)</f>
        <v>1040.6108299999999</v>
      </c>
      <c r="AA22" s="46">
        <f>+SUMIFS('Costal Nav'!17:17,'Costal Nav'!$3:$3,'Segments USD'!AA$3)</f>
        <v>817.57574</v>
      </c>
      <c r="AB22" s="46">
        <f>+SUMIFS('Costal Nav'!17:17,'Costal Nav'!$3:$3,'Segments USD'!AB$3)</f>
        <v>1039.6507000000001</v>
      </c>
      <c r="AC22" s="46">
        <f>+SUMIFS('Costal Nav'!17:17,'Costal Nav'!$3:$3,'Segments USD'!AC$3)</f>
        <v>460.66030000000001</v>
      </c>
      <c r="AD22" s="46">
        <f ca="1">+SUMIFS('Costal Nav'!17:17,'Costal Nav'!$3:$3,'Segments USD'!AD$3)</f>
        <v>1061.4230465999999</v>
      </c>
      <c r="AE22" s="46">
        <f ca="1">+SUMIFS('Costal Nav'!17:17,'Costal Nav'!$3:$3,'Segments USD'!AE$3)</f>
        <v>833.92725480000001</v>
      </c>
      <c r="AF22" s="46">
        <f ca="1">+SUMIFS('Costal Nav'!17:17,'Costal Nav'!$3:$3,'Segments USD'!AF$3)</f>
        <v>1060.4437140000002</v>
      </c>
      <c r="AG22" s="46">
        <f ca="1">+SUMIFS('Costal Nav'!17:17,'Costal Nav'!$3:$3,'Segments USD'!AG$3)</f>
        <v>469.87350600000002</v>
      </c>
      <c r="AH22" s="46">
        <f ca="1">+SUMIFS('Costal Nav'!17:17,'Costal Nav'!$3:$3,'Segments USD'!AH$3)</f>
        <v>1082.6515075319999</v>
      </c>
      <c r="AI22" s="46">
        <f ca="1">+SUMIFS('Costal Nav'!17:17,'Costal Nav'!$3:$3,'Segments USD'!AI$3)</f>
        <v>850.60579989600001</v>
      </c>
      <c r="AJ22" s="46">
        <f ca="1">+SUMIFS('Costal Nav'!17:17,'Costal Nav'!$3:$3,'Segments USD'!AJ$3)</f>
        <v>1081.6525882800001</v>
      </c>
      <c r="AK22" s="46">
        <f ca="1">+SUMIFS('Costal Nav'!17:17,'Costal Nav'!$3:$3,'Segments USD'!AK$3)</f>
        <v>479.27097612000006</v>
      </c>
      <c r="AL22" s="46">
        <f ca="1">+SUMIFS('Costal Nav'!17:17,'Costal Nav'!$3:$3,'Segments USD'!AL$3)</f>
        <v>1104.3045376826399</v>
      </c>
      <c r="AM22" s="46">
        <f ca="1">+SUMIFS('Costal Nav'!17:17,'Costal Nav'!$3:$3,'Segments USD'!AM$3)</f>
        <v>867.61791589391999</v>
      </c>
      <c r="AN22" s="46">
        <f ca="1">+SUMIFS('Costal Nav'!17:17,'Costal Nav'!$3:$3,'Segments USD'!AN$3)</f>
        <v>1103.2856400456001</v>
      </c>
      <c r="AO22" s="46">
        <f ca="1">+SUMIFS('Costal Nav'!17:17,'Costal Nav'!$3:$3,'Segments USD'!AO$3)</f>
        <v>488.85639564240006</v>
      </c>
      <c r="AP22" s="46">
        <f ca="1">+SUMIFS('Costal Nav'!17:17,'Costal Nav'!$3:$3,'Segments USD'!AP$3)</f>
        <v>1126.3906284362927</v>
      </c>
      <c r="AQ22" s="46">
        <f ca="1">+SUMIFS('Costal Nav'!17:17,'Costal Nav'!$3:$3,'Segments USD'!AQ$3)</f>
        <v>884.97027421179837</v>
      </c>
      <c r="AR22" s="46">
        <f ca="1">+SUMIFS('Costal Nav'!17:17,'Costal Nav'!$3:$3,'Segments USD'!AR$3)</f>
        <v>1125.3513528465121</v>
      </c>
      <c r="AS22" s="46">
        <f ca="1">+SUMIFS('Costal Nav'!17:17,'Costal Nav'!$3:$3,'Segments USD'!AS$3)</f>
        <v>498.63352355524808</v>
      </c>
      <c r="AT22" s="46">
        <f ca="1">+SUMIFS('Costal Nav'!17:17,'Costal Nav'!$3:$3,'Segments USD'!AT$3)</f>
        <v>1148.9184410050186</v>
      </c>
      <c r="AU22" s="46">
        <f ca="1">+SUMIFS('Costal Nav'!17:17,'Costal Nav'!$3:$3,'Segments USD'!AU$3)</f>
        <v>902.66967969603434</v>
      </c>
      <c r="AV22" s="46">
        <f ca="1">+SUMIFS('Costal Nav'!17:17,'Costal Nav'!$3:$3,'Segments USD'!AV$3)</f>
        <v>1147.8583799034423</v>
      </c>
      <c r="AW22" s="46">
        <f ca="1">+SUMIFS('Costal Nav'!17:17,'Costal Nav'!$3:$3,'Segments USD'!AW$3)</f>
        <v>508.60619402635302</v>
      </c>
      <c r="AX22" s="46">
        <f ca="1">+SUMIFS('Costal Nav'!17:17,'Costal Nav'!$3:$3,'Segments USD'!AX$3)</f>
        <v>1171.8968098251189</v>
      </c>
      <c r="AY22" s="46">
        <f ca="1">+SUMIFS('Costal Nav'!17:17,'Costal Nav'!$3:$3,'Segments USD'!AY$3)</f>
        <v>920.7230732899551</v>
      </c>
      <c r="AZ22" s="46">
        <f ca="1">+SUMIFS('Costal Nav'!17:17,'Costal Nav'!$3:$3,'Segments USD'!AZ$3)</f>
        <v>1170.8155475015112</v>
      </c>
      <c r="BA22" s="46">
        <f ca="1">+SUMIFS('Costal Nav'!17:17,'Costal Nav'!$3:$3,'Segments USD'!BA$3)</f>
        <v>518.77831790688015</v>
      </c>
      <c r="BB22" s="8" t="s">
        <v>75</v>
      </c>
    </row>
    <row r="23" spans="1:54" x14ac:dyDescent="0.2">
      <c r="B23" s="19" t="s">
        <v>14</v>
      </c>
      <c r="C23" s="45" t="s">
        <v>201</v>
      </c>
      <c r="D23" s="2"/>
      <c r="E23" s="2"/>
      <c r="F23" s="11">
        <f t="shared" si="17"/>
        <v>459.18</v>
      </c>
      <c r="G23" s="11">
        <f t="shared" si="17"/>
        <v>472.38599999999997</v>
      </c>
      <c r="H23" s="11">
        <f t="shared" si="17"/>
        <v>0</v>
      </c>
      <c r="I23" s="11">
        <f t="shared" ca="1" si="17"/>
        <v>0</v>
      </c>
      <c r="J23" s="11">
        <f t="shared" ca="1" si="17"/>
        <v>0</v>
      </c>
      <c r="K23" s="11">
        <f t="shared" ca="1" si="17"/>
        <v>0</v>
      </c>
      <c r="L23" s="11">
        <f t="shared" ca="1" si="17"/>
        <v>0</v>
      </c>
      <c r="M23" s="11">
        <f t="shared" ca="1" si="17"/>
        <v>0</v>
      </c>
      <c r="N23" s="11">
        <f t="shared" ca="1" si="17"/>
        <v>0</v>
      </c>
      <c r="P23" s="97" t="str">
        <f t="shared" ca="1" si="12"/>
        <v>NM</v>
      </c>
      <c r="R23" s="46">
        <f>+SUMIFS('Costal Nav'!18:18,'Costal Nav'!$3:$3,'Segments USD'!R$3)</f>
        <v>239.352</v>
      </c>
      <c r="S23" s="46">
        <f>+SUMIFS('Costal Nav'!18:18,'Costal Nav'!$3:$3,'Segments USD'!S$3)</f>
        <v>21.206</v>
      </c>
      <c r="T23" s="46">
        <f>+SUMIFS('Costal Nav'!18:18,'Costal Nav'!$3:$3,'Segments USD'!T$3)</f>
        <v>35.61</v>
      </c>
      <c r="U23" s="46">
        <f>+SUMIFS('Costal Nav'!18:18,'Costal Nav'!$3:$3,'Segments USD'!U$3)</f>
        <v>163.012</v>
      </c>
      <c r="V23" s="46">
        <f>+SUMIFS('Costal Nav'!18:18,'Costal Nav'!$3:$3,'Segments USD'!V$3)</f>
        <v>160.51300000000001</v>
      </c>
      <c r="W23" s="46">
        <f>+SUMIFS('Costal Nav'!18:18,'Costal Nav'!$3:$3,'Segments USD'!W$3)</f>
        <v>75.350999999999999</v>
      </c>
      <c r="X23" s="46">
        <f>+SUMIFS('Costal Nav'!18:18,'Costal Nav'!$3:$3,'Segments USD'!X$3)</f>
        <v>79.28</v>
      </c>
      <c r="Y23" s="46">
        <f>+SUMIFS('Costal Nav'!18:18,'Costal Nav'!$3:$3,'Segments USD'!Y$3)</f>
        <v>157.24199999999999</v>
      </c>
      <c r="Z23" s="46">
        <f>+SUMIFS('Costal Nav'!18:18,'Costal Nav'!$3:$3,'Segments USD'!Z$3)</f>
        <v>0</v>
      </c>
      <c r="AA23" s="46">
        <f>+SUMIFS('Costal Nav'!18:18,'Costal Nav'!$3:$3,'Segments USD'!AA$3)</f>
        <v>0</v>
      </c>
      <c r="AB23" s="46">
        <f>+SUMIFS('Costal Nav'!18:18,'Costal Nav'!$3:$3,'Segments USD'!AB$3)</f>
        <v>0</v>
      </c>
      <c r="AC23" s="46">
        <f>+SUMIFS('Costal Nav'!18:18,'Costal Nav'!$3:$3,'Segments USD'!AC$3)</f>
        <v>0</v>
      </c>
      <c r="AD23" s="46">
        <f ca="1">+SUMIFS('Costal Nav'!18:18,'Costal Nav'!$3:$3,'Segments USD'!AD$3)</f>
        <v>0</v>
      </c>
      <c r="AE23" s="46">
        <f ca="1">+SUMIFS('Costal Nav'!18:18,'Costal Nav'!$3:$3,'Segments USD'!AE$3)</f>
        <v>0</v>
      </c>
      <c r="AF23" s="46">
        <f ca="1">+SUMIFS('Costal Nav'!18:18,'Costal Nav'!$3:$3,'Segments USD'!AF$3)</f>
        <v>0</v>
      </c>
      <c r="AG23" s="46">
        <f ca="1">+SUMIFS('Costal Nav'!18:18,'Costal Nav'!$3:$3,'Segments USD'!AG$3)</f>
        <v>0</v>
      </c>
      <c r="AH23" s="46">
        <f ca="1">+SUMIFS('Costal Nav'!18:18,'Costal Nav'!$3:$3,'Segments USD'!AH$3)</f>
        <v>0</v>
      </c>
      <c r="AI23" s="46">
        <f ca="1">+SUMIFS('Costal Nav'!18:18,'Costal Nav'!$3:$3,'Segments USD'!AI$3)</f>
        <v>0</v>
      </c>
      <c r="AJ23" s="46">
        <f ca="1">+SUMIFS('Costal Nav'!18:18,'Costal Nav'!$3:$3,'Segments USD'!AJ$3)</f>
        <v>0</v>
      </c>
      <c r="AK23" s="46">
        <f ca="1">+SUMIFS('Costal Nav'!18:18,'Costal Nav'!$3:$3,'Segments USD'!AK$3)</f>
        <v>0</v>
      </c>
      <c r="AL23" s="46">
        <f ca="1">+SUMIFS('Costal Nav'!18:18,'Costal Nav'!$3:$3,'Segments USD'!AL$3)</f>
        <v>0</v>
      </c>
      <c r="AM23" s="46">
        <f ca="1">+SUMIFS('Costal Nav'!18:18,'Costal Nav'!$3:$3,'Segments USD'!AM$3)</f>
        <v>0</v>
      </c>
      <c r="AN23" s="46">
        <f ca="1">+SUMIFS('Costal Nav'!18:18,'Costal Nav'!$3:$3,'Segments USD'!AN$3)</f>
        <v>0</v>
      </c>
      <c r="AO23" s="46">
        <f ca="1">+SUMIFS('Costal Nav'!18:18,'Costal Nav'!$3:$3,'Segments USD'!AO$3)</f>
        <v>0</v>
      </c>
      <c r="AP23" s="46">
        <f ca="1">+SUMIFS('Costal Nav'!18:18,'Costal Nav'!$3:$3,'Segments USD'!AP$3)</f>
        <v>0</v>
      </c>
      <c r="AQ23" s="46">
        <f ca="1">+SUMIFS('Costal Nav'!18:18,'Costal Nav'!$3:$3,'Segments USD'!AQ$3)</f>
        <v>0</v>
      </c>
      <c r="AR23" s="46">
        <f ca="1">+SUMIFS('Costal Nav'!18:18,'Costal Nav'!$3:$3,'Segments USD'!AR$3)</f>
        <v>0</v>
      </c>
      <c r="AS23" s="46">
        <f ca="1">+SUMIFS('Costal Nav'!18:18,'Costal Nav'!$3:$3,'Segments USD'!AS$3)</f>
        <v>0</v>
      </c>
      <c r="AT23" s="46">
        <f ca="1">+SUMIFS('Costal Nav'!18:18,'Costal Nav'!$3:$3,'Segments USD'!AT$3)</f>
        <v>0</v>
      </c>
      <c r="AU23" s="46">
        <f ca="1">+SUMIFS('Costal Nav'!18:18,'Costal Nav'!$3:$3,'Segments USD'!AU$3)</f>
        <v>0</v>
      </c>
      <c r="AV23" s="46">
        <f ca="1">+SUMIFS('Costal Nav'!18:18,'Costal Nav'!$3:$3,'Segments USD'!AV$3)</f>
        <v>0</v>
      </c>
      <c r="AW23" s="46">
        <f ca="1">+SUMIFS('Costal Nav'!18:18,'Costal Nav'!$3:$3,'Segments USD'!AW$3)</f>
        <v>0</v>
      </c>
      <c r="AX23" s="46">
        <f ca="1">+SUMIFS('Costal Nav'!18:18,'Costal Nav'!$3:$3,'Segments USD'!AX$3)</f>
        <v>0</v>
      </c>
      <c r="AY23" s="46">
        <f ca="1">+SUMIFS('Costal Nav'!18:18,'Costal Nav'!$3:$3,'Segments USD'!AY$3)</f>
        <v>0</v>
      </c>
      <c r="AZ23" s="46">
        <f ca="1">+SUMIFS('Costal Nav'!18:18,'Costal Nav'!$3:$3,'Segments USD'!AZ$3)</f>
        <v>0</v>
      </c>
      <c r="BA23" s="46">
        <f ca="1">+SUMIFS('Costal Nav'!18:18,'Costal Nav'!$3:$3,'Segments USD'!BA$3)</f>
        <v>0</v>
      </c>
      <c r="BB23" s="8" t="s">
        <v>75</v>
      </c>
    </row>
    <row r="24" spans="1:54" s="2" customFormat="1" x14ac:dyDescent="0.2">
      <c r="B24" s="2" t="s">
        <v>10</v>
      </c>
      <c r="C24" s="45" t="s">
        <v>201</v>
      </c>
      <c r="F24" s="13">
        <f t="shared" si="17"/>
        <v>0</v>
      </c>
      <c r="G24" s="13">
        <f t="shared" si="17"/>
        <v>0</v>
      </c>
      <c r="H24" s="13">
        <f t="shared" si="17"/>
        <v>628.00829900000008</v>
      </c>
      <c r="I24" s="13">
        <f t="shared" ca="1" si="17"/>
        <v>933.12930249705755</v>
      </c>
      <c r="J24" s="13">
        <f t="shared" ca="1" si="17"/>
        <v>2471.0180940269411</v>
      </c>
      <c r="K24" s="13">
        <f t="shared" ca="1" si="17"/>
        <v>2555.4453224269919</v>
      </c>
      <c r="L24" s="13">
        <f t="shared" ca="1" si="17"/>
        <v>2642.8234544032712</v>
      </c>
      <c r="M24" s="13">
        <f t="shared" ca="1" si="17"/>
        <v>2733.2579930605957</v>
      </c>
      <c r="N24" s="13">
        <f t="shared" ca="1" si="17"/>
        <v>2826.8582958905031</v>
      </c>
      <c r="P24" s="131">
        <f t="shared" ca="1" si="12"/>
        <v>0.24816627021187077</v>
      </c>
      <c r="Q24" s="13"/>
      <c r="R24" s="13">
        <f t="shared" ref="R24:Z24" si="18">+R25+R26</f>
        <v>0</v>
      </c>
      <c r="S24" s="13">
        <f t="shared" si="18"/>
        <v>0</v>
      </c>
      <c r="T24" s="13">
        <f t="shared" si="18"/>
        <v>0</v>
      </c>
      <c r="U24" s="13">
        <f t="shared" si="18"/>
        <v>0</v>
      </c>
      <c r="V24" s="13">
        <f t="shared" si="18"/>
        <v>0</v>
      </c>
      <c r="W24" s="13">
        <f t="shared" si="18"/>
        <v>0</v>
      </c>
      <c r="X24" s="13">
        <f t="shared" si="18"/>
        <v>0</v>
      </c>
      <c r="Y24" s="13">
        <f t="shared" si="18"/>
        <v>0</v>
      </c>
      <c r="Z24" s="13">
        <f t="shared" si="18"/>
        <v>0</v>
      </c>
      <c r="AA24" s="13">
        <f>+AA25+AA26</f>
        <v>151.243065</v>
      </c>
      <c r="AB24" s="13">
        <f>+AB25+AB26</f>
        <v>249.22849600000001</v>
      </c>
      <c r="AC24" s="13">
        <f>+AC25+AC26</f>
        <v>227.53673800000001</v>
      </c>
      <c r="AD24" s="13">
        <f t="shared" ref="AD24:BA24" ca="1" si="19">+AD25+AD26</f>
        <v>229.81210538000002</v>
      </c>
      <c r="AE24" s="13">
        <f t="shared" ca="1" si="19"/>
        <v>232.11022643380002</v>
      </c>
      <c r="AF24" s="13">
        <f t="shared" ca="1" si="19"/>
        <v>234.43132869813803</v>
      </c>
      <c r="AG24" s="13">
        <f t="shared" ca="1" si="19"/>
        <v>236.77564198511942</v>
      </c>
      <c r="AH24" s="13">
        <f t="shared" ca="1" si="19"/>
        <v>614.14339840497064</v>
      </c>
      <c r="AI24" s="13">
        <f t="shared" ca="1" si="19"/>
        <v>616.53483238902027</v>
      </c>
      <c r="AJ24" s="13">
        <f t="shared" ca="1" si="19"/>
        <v>618.95018071291054</v>
      </c>
      <c r="AK24" s="13">
        <f t="shared" ca="1" si="19"/>
        <v>621.38968252003963</v>
      </c>
      <c r="AL24" s="13">
        <f t="shared" ca="1" si="19"/>
        <v>635.10357934524006</v>
      </c>
      <c r="AM24" s="13">
        <f t="shared" ca="1" si="19"/>
        <v>637.59211513869241</v>
      </c>
      <c r="AN24" s="13">
        <f t="shared" ca="1" si="19"/>
        <v>640.10553629007939</v>
      </c>
      <c r="AO24" s="13">
        <f t="shared" ca="1" si="19"/>
        <v>642.64409165298025</v>
      </c>
      <c r="AP24" s="13">
        <f t="shared" ca="1" si="19"/>
        <v>656.79553256950999</v>
      </c>
      <c r="AQ24" s="13">
        <f t="shared" ca="1" si="19"/>
        <v>659.38511289520511</v>
      </c>
      <c r="AR24" s="13">
        <f t="shared" ca="1" si="19"/>
        <v>662.00058902415719</v>
      </c>
      <c r="AS24" s="13">
        <f t="shared" ca="1" si="19"/>
        <v>664.64221991439877</v>
      </c>
      <c r="AT24" s="13">
        <f t="shared" ca="1" si="19"/>
        <v>679.24539211354272</v>
      </c>
      <c r="AU24" s="13">
        <f t="shared" ca="1" si="19"/>
        <v>681.94011978467813</v>
      </c>
      <c r="AV24" s="13">
        <f t="shared" ca="1" si="19"/>
        <v>684.66179473252487</v>
      </c>
      <c r="AW24" s="13">
        <f t="shared" ca="1" si="19"/>
        <v>687.4106864298501</v>
      </c>
      <c r="AX24" s="13">
        <f t="shared" ca="1" si="19"/>
        <v>702.48024579414869</v>
      </c>
      <c r="AY24" s="13">
        <f t="shared" ca="1" si="19"/>
        <v>705.28439021459019</v>
      </c>
      <c r="AZ24" s="13">
        <f t="shared" ca="1" si="19"/>
        <v>708.1165760792361</v>
      </c>
      <c r="BA24" s="13">
        <f t="shared" ca="1" si="19"/>
        <v>710.97708380252845</v>
      </c>
      <c r="BB24" s="83" t="s">
        <v>75</v>
      </c>
    </row>
    <row r="25" spans="1:54" x14ac:dyDescent="0.2">
      <c r="B25" s="19" t="s">
        <v>12</v>
      </c>
      <c r="C25" s="45" t="s">
        <v>201</v>
      </c>
      <c r="D25" s="2"/>
      <c r="E25" s="2"/>
      <c r="F25" s="11">
        <f t="shared" si="17"/>
        <v>0</v>
      </c>
      <c r="G25" s="11">
        <f t="shared" si="17"/>
        <v>0</v>
      </c>
      <c r="H25" s="11">
        <f t="shared" si="17"/>
        <v>628.00829900000008</v>
      </c>
      <c r="I25" s="11">
        <f t="shared" ca="1" si="17"/>
        <v>933.12930249705755</v>
      </c>
      <c r="J25" s="11">
        <f t="shared" ca="1" si="17"/>
        <v>971.01809402694107</v>
      </c>
      <c r="K25" s="11">
        <f t="shared" ca="1" si="17"/>
        <v>1010.4453224269921</v>
      </c>
      <c r="L25" s="11">
        <f t="shared" ca="1" si="17"/>
        <v>1051.4734544032713</v>
      </c>
      <c r="M25" s="11">
        <f t="shared" ca="1" si="17"/>
        <v>1094.1674930605961</v>
      </c>
      <c r="N25" s="11">
        <f t="shared" ca="1" si="17"/>
        <v>1138.5950808905036</v>
      </c>
      <c r="P25" s="97">
        <f t="shared" ca="1" si="12"/>
        <v>4.0604010000000024E-2</v>
      </c>
      <c r="Q25" s="13"/>
      <c r="R25" s="46">
        <f>+SUMIFS(Santos!10:10,Santos!$3:$3,'Segments USD'!R$3)</f>
        <v>0</v>
      </c>
      <c r="S25" s="46">
        <f>+SUMIFS(Santos!10:10,Santos!$3:$3,'Segments USD'!S$3)</f>
        <v>0</v>
      </c>
      <c r="T25" s="46">
        <f>+SUMIFS(Santos!10:10,Santos!$3:$3,'Segments USD'!T$3)</f>
        <v>0</v>
      </c>
      <c r="U25" s="46">
        <f>+SUMIFS(Santos!10:10,Santos!$3:$3,'Segments USD'!U$3)</f>
        <v>0</v>
      </c>
      <c r="V25" s="46">
        <f>+SUMIFS(Santos!10:10,Santos!$3:$3,'Segments USD'!V$3)</f>
        <v>0</v>
      </c>
      <c r="W25" s="46">
        <f>+SUMIFS(Santos!10:10,Santos!$3:$3,'Segments USD'!W$3)</f>
        <v>0</v>
      </c>
      <c r="X25" s="46">
        <f>+SUMIFS(Santos!10:10,Santos!$3:$3,'Segments USD'!X$3)</f>
        <v>0</v>
      </c>
      <c r="Y25" s="46">
        <f>+SUMIFS(Santos!10:10,Santos!$3:$3,'Segments USD'!Y$3)</f>
        <v>0</v>
      </c>
      <c r="Z25" s="46">
        <f>+SUMIFS(Santos!10:10,Santos!$3:$3,'Segments USD'!Z$3)</f>
        <v>0</v>
      </c>
      <c r="AA25" s="46">
        <f>+SUMIFS(Santos!10:10,Santos!$3:$3,'Segments USD'!AA$3)</f>
        <v>151.243065</v>
      </c>
      <c r="AB25" s="46">
        <f>+SUMIFS(Santos!10:10,Santos!$3:$3,'Segments USD'!AB$3)</f>
        <v>249.22849600000001</v>
      </c>
      <c r="AC25" s="46">
        <f>+SUMIFS(Santos!10:10,Santos!$3:$3,'Segments USD'!AC$3)</f>
        <v>227.53673800000001</v>
      </c>
      <c r="AD25" s="46">
        <f ca="1">+SUMIFS(Santos!10:10,Santos!$3:$3,'Segments USD'!AD$3)</f>
        <v>229.81210538000002</v>
      </c>
      <c r="AE25" s="46">
        <f ca="1">+SUMIFS(Santos!10:10,Santos!$3:$3,'Segments USD'!AE$3)</f>
        <v>232.11022643380002</v>
      </c>
      <c r="AF25" s="46">
        <f ca="1">+SUMIFS(Santos!10:10,Santos!$3:$3,'Segments USD'!AF$3)</f>
        <v>234.43132869813803</v>
      </c>
      <c r="AG25" s="46">
        <f ca="1">+SUMIFS(Santos!10:10,Santos!$3:$3,'Segments USD'!AG$3)</f>
        <v>236.77564198511942</v>
      </c>
      <c r="AH25" s="46">
        <f ca="1">+SUMIFS(Santos!10:10,Santos!$3:$3,'Segments USD'!AH$3)</f>
        <v>239.14339840497061</v>
      </c>
      <c r="AI25" s="46">
        <f ca="1">+SUMIFS(Santos!10:10,Santos!$3:$3,'Segments USD'!AI$3)</f>
        <v>241.53483238902032</v>
      </c>
      <c r="AJ25" s="46">
        <f ca="1">+SUMIFS(Santos!10:10,Santos!$3:$3,'Segments USD'!AJ$3)</f>
        <v>243.95018071291054</v>
      </c>
      <c r="AK25" s="46">
        <f ca="1">+SUMIFS(Santos!10:10,Santos!$3:$3,'Segments USD'!AK$3)</f>
        <v>246.38968252003966</v>
      </c>
      <c r="AL25" s="46">
        <f ca="1">+SUMIFS(Santos!10:10,Santos!$3:$3,'Segments USD'!AL$3)</f>
        <v>248.85357934524006</v>
      </c>
      <c r="AM25" s="46">
        <f ca="1">+SUMIFS(Santos!10:10,Santos!$3:$3,'Segments USD'!AM$3)</f>
        <v>251.34211513869246</v>
      </c>
      <c r="AN25" s="46">
        <f ca="1">+SUMIFS(Santos!10:10,Santos!$3:$3,'Segments USD'!AN$3)</f>
        <v>253.85553629007939</v>
      </c>
      <c r="AO25" s="46">
        <f ca="1">+SUMIFS(Santos!10:10,Santos!$3:$3,'Segments USD'!AO$3)</f>
        <v>256.39409165298019</v>
      </c>
      <c r="AP25" s="46">
        <f ca="1">+SUMIFS(Santos!10:10,Santos!$3:$3,'Segments USD'!AP$3)</f>
        <v>258.95803256951001</v>
      </c>
      <c r="AQ25" s="46">
        <f ca="1">+SUMIFS(Santos!10:10,Santos!$3:$3,'Segments USD'!AQ$3)</f>
        <v>261.54761289520513</v>
      </c>
      <c r="AR25" s="46">
        <f ca="1">+SUMIFS(Santos!10:10,Santos!$3:$3,'Segments USD'!AR$3)</f>
        <v>264.16308902415722</v>
      </c>
      <c r="AS25" s="46">
        <f ca="1">+SUMIFS(Santos!10:10,Santos!$3:$3,'Segments USD'!AS$3)</f>
        <v>266.80471991439879</v>
      </c>
      <c r="AT25" s="46">
        <f ca="1">+SUMIFS(Santos!10:10,Santos!$3:$3,'Segments USD'!AT$3)</f>
        <v>269.47276711354277</v>
      </c>
      <c r="AU25" s="46">
        <f ca="1">+SUMIFS(Santos!10:10,Santos!$3:$3,'Segments USD'!AU$3)</f>
        <v>272.16749478467818</v>
      </c>
      <c r="AV25" s="46">
        <f ca="1">+SUMIFS(Santos!10:10,Santos!$3:$3,'Segments USD'!AV$3)</f>
        <v>274.88916973252498</v>
      </c>
      <c r="AW25" s="46">
        <f ca="1">+SUMIFS(Santos!10:10,Santos!$3:$3,'Segments USD'!AW$3)</f>
        <v>277.63806142985021</v>
      </c>
      <c r="AX25" s="46">
        <f ca="1">+SUMIFS(Santos!10:10,Santos!$3:$3,'Segments USD'!AX$3)</f>
        <v>280.4144420441487</v>
      </c>
      <c r="AY25" s="46">
        <f ca="1">+SUMIFS(Santos!10:10,Santos!$3:$3,'Segments USD'!AY$3)</f>
        <v>283.2185864645902</v>
      </c>
      <c r="AZ25" s="46">
        <f ca="1">+SUMIFS(Santos!10:10,Santos!$3:$3,'Segments USD'!AZ$3)</f>
        <v>286.05077232923611</v>
      </c>
      <c r="BA25" s="46">
        <f ca="1">+SUMIFS(Santos!10:10,Santos!$3:$3,'Segments USD'!BA$3)</f>
        <v>288.91128005252847</v>
      </c>
      <c r="BB25" s="8" t="s">
        <v>75</v>
      </c>
    </row>
    <row r="26" spans="1:54" x14ac:dyDescent="0.2">
      <c r="B26" s="19" t="s">
        <v>9</v>
      </c>
      <c r="C26" s="45" t="s">
        <v>201</v>
      </c>
      <c r="D26" s="2"/>
      <c r="E26" s="2"/>
      <c r="F26" s="11">
        <f t="shared" si="17"/>
        <v>0</v>
      </c>
      <c r="G26" s="11">
        <f t="shared" si="17"/>
        <v>0</v>
      </c>
      <c r="H26" s="11">
        <f t="shared" si="17"/>
        <v>0</v>
      </c>
      <c r="I26" s="11">
        <f t="shared" si="17"/>
        <v>0</v>
      </c>
      <c r="J26" s="11">
        <f t="shared" si="17"/>
        <v>1500</v>
      </c>
      <c r="K26" s="11">
        <f t="shared" si="17"/>
        <v>1545</v>
      </c>
      <c r="L26" s="11">
        <f t="shared" si="17"/>
        <v>1591.35</v>
      </c>
      <c r="M26" s="11">
        <f t="shared" si="17"/>
        <v>1639.0904999999998</v>
      </c>
      <c r="N26" s="11">
        <f t="shared" si="17"/>
        <v>1688.2632149999999</v>
      </c>
      <c r="P26" s="97" t="str">
        <f t="shared" si="12"/>
        <v>NM</v>
      </c>
      <c r="Q26" s="13"/>
      <c r="R26" s="46">
        <f>+SUMIFS(Santos!11:11,Santos!$3:$3,'Segments USD'!R$3)</f>
        <v>0</v>
      </c>
      <c r="S26" s="46">
        <f>+SUMIFS(Santos!11:11,Santos!$3:$3,'Segments USD'!S$3)</f>
        <v>0</v>
      </c>
      <c r="T26" s="46">
        <f>+SUMIFS(Santos!11:11,Santos!$3:$3,'Segments USD'!T$3)</f>
        <v>0</v>
      </c>
      <c r="U26" s="46">
        <f>+SUMIFS(Santos!11:11,Santos!$3:$3,'Segments USD'!U$3)</f>
        <v>0</v>
      </c>
      <c r="V26" s="46">
        <f>+SUMIFS(Santos!11:11,Santos!$3:$3,'Segments USD'!V$3)</f>
        <v>0</v>
      </c>
      <c r="W26" s="46">
        <f>+SUMIFS(Santos!11:11,Santos!$3:$3,'Segments USD'!W$3)</f>
        <v>0</v>
      </c>
      <c r="X26" s="46">
        <f>+SUMIFS(Santos!11:11,Santos!$3:$3,'Segments USD'!X$3)</f>
        <v>0</v>
      </c>
      <c r="Y26" s="46">
        <f>+SUMIFS(Santos!11:11,Santos!$3:$3,'Segments USD'!Y$3)</f>
        <v>0</v>
      </c>
      <c r="Z26" s="46">
        <f>+SUMIFS(Santos!11:11,Santos!$3:$3,'Segments USD'!Z$3)</f>
        <v>0</v>
      </c>
      <c r="AA26" s="46">
        <f>+SUMIFS(Santos!11:11,Santos!$3:$3,'Segments USD'!AA$3)</f>
        <v>0</v>
      </c>
      <c r="AB26" s="46">
        <f>+SUMIFS(Santos!11:11,Santos!$3:$3,'Segments USD'!AB$3)</f>
        <v>0</v>
      </c>
      <c r="AC26" s="46">
        <f>+SUMIFS(Santos!11:11,Santos!$3:$3,'Segments USD'!AC$3)</f>
        <v>0</v>
      </c>
      <c r="AD26" s="46">
        <f>+SUMIFS(Santos!11:11,Santos!$3:$3,'Segments USD'!AD$3)</f>
        <v>0</v>
      </c>
      <c r="AE26" s="46">
        <f>+SUMIFS(Santos!11:11,Santos!$3:$3,'Segments USD'!AE$3)</f>
        <v>0</v>
      </c>
      <c r="AF26" s="46">
        <f>+SUMIFS(Santos!11:11,Santos!$3:$3,'Segments USD'!AF$3)</f>
        <v>0</v>
      </c>
      <c r="AG26" s="46">
        <f>+SUMIFS(Santos!11:11,Santos!$3:$3,'Segments USD'!AG$3)</f>
        <v>0</v>
      </c>
      <c r="AH26" s="46">
        <f>+SUMIFS(Santos!11:11,Santos!$3:$3,'Segments USD'!AH$3)</f>
        <v>375</v>
      </c>
      <c r="AI26" s="46">
        <f>+SUMIFS(Santos!11:11,Santos!$3:$3,'Segments USD'!AI$3)</f>
        <v>375</v>
      </c>
      <c r="AJ26" s="46">
        <f>+SUMIFS(Santos!11:11,Santos!$3:$3,'Segments USD'!AJ$3)</f>
        <v>375</v>
      </c>
      <c r="AK26" s="46">
        <f>+SUMIFS(Santos!11:11,Santos!$3:$3,'Segments USD'!AK$3)</f>
        <v>375</v>
      </c>
      <c r="AL26" s="46">
        <f>+SUMIFS(Santos!11:11,Santos!$3:$3,'Segments USD'!AL$3)</f>
        <v>386.25</v>
      </c>
      <c r="AM26" s="46">
        <f>+SUMIFS(Santos!11:11,Santos!$3:$3,'Segments USD'!AM$3)</f>
        <v>386.25</v>
      </c>
      <c r="AN26" s="46">
        <f>+SUMIFS(Santos!11:11,Santos!$3:$3,'Segments USD'!AN$3)</f>
        <v>386.25</v>
      </c>
      <c r="AO26" s="46">
        <f>+SUMIFS(Santos!11:11,Santos!$3:$3,'Segments USD'!AO$3)</f>
        <v>386.25</v>
      </c>
      <c r="AP26" s="46">
        <f>+SUMIFS(Santos!11:11,Santos!$3:$3,'Segments USD'!AP$3)</f>
        <v>397.83749999999998</v>
      </c>
      <c r="AQ26" s="46">
        <f>+SUMIFS(Santos!11:11,Santos!$3:$3,'Segments USD'!AQ$3)</f>
        <v>397.83749999999998</v>
      </c>
      <c r="AR26" s="46">
        <f>+SUMIFS(Santos!11:11,Santos!$3:$3,'Segments USD'!AR$3)</f>
        <v>397.83749999999998</v>
      </c>
      <c r="AS26" s="46">
        <f>+SUMIFS(Santos!11:11,Santos!$3:$3,'Segments USD'!AS$3)</f>
        <v>397.83749999999998</v>
      </c>
      <c r="AT26" s="46">
        <f>+SUMIFS(Santos!11:11,Santos!$3:$3,'Segments USD'!AT$3)</f>
        <v>409.77262499999995</v>
      </c>
      <c r="AU26" s="46">
        <f>+SUMIFS(Santos!11:11,Santos!$3:$3,'Segments USD'!AU$3)</f>
        <v>409.77262499999995</v>
      </c>
      <c r="AV26" s="46">
        <f>+SUMIFS(Santos!11:11,Santos!$3:$3,'Segments USD'!AV$3)</f>
        <v>409.77262499999995</v>
      </c>
      <c r="AW26" s="46">
        <f>+SUMIFS(Santos!11:11,Santos!$3:$3,'Segments USD'!AW$3)</f>
        <v>409.77262499999995</v>
      </c>
      <c r="AX26" s="46">
        <f>+SUMIFS(Santos!11:11,Santos!$3:$3,'Segments USD'!AX$3)</f>
        <v>422.06580374999999</v>
      </c>
      <c r="AY26" s="46">
        <f>+SUMIFS(Santos!11:11,Santos!$3:$3,'Segments USD'!AY$3)</f>
        <v>422.06580374999999</v>
      </c>
      <c r="AZ26" s="46">
        <f>+SUMIFS(Santos!11:11,Santos!$3:$3,'Segments USD'!AZ$3)</f>
        <v>422.06580374999999</v>
      </c>
      <c r="BA26" s="46">
        <f>+SUMIFS(Santos!11:11,Santos!$3:$3,'Segments USD'!BA$3)</f>
        <v>422.06580374999999</v>
      </c>
      <c r="BB26" s="8" t="s">
        <v>75</v>
      </c>
    </row>
    <row r="27" spans="1:54" s="2" customFormat="1" x14ac:dyDescent="0.2">
      <c r="B27" s="2" t="s">
        <v>615</v>
      </c>
      <c r="C27" s="45" t="s">
        <v>201</v>
      </c>
      <c r="F27" s="13">
        <f t="shared" si="17"/>
        <v>0</v>
      </c>
      <c r="G27" s="13">
        <f t="shared" ca="1" si="17"/>
        <v>0</v>
      </c>
      <c r="H27" s="13">
        <f t="shared" ca="1" si="17"/>
        <v>0</v>
      </c>
      <c r="I27" s="13">
        <f t="shared" ca="1" si="17"/>
        <v>0</v>
      </c>
      <c r="J27" s="13">
        <f t="shared" ca="1" si="17"/>
        <v>0</v>
      </c>
      <c r="K27" s="13">
        <f t="shared" ca="1" si="17"/>
        <v>0</v>
      </c>
      <c r="L27" s="13">
        <f t="shared" ca="1" si="17"/>
        <v>0</v>
      </c>
      <c r="M27" s="13">
        <f t="shared" ca="1" si="17"/>
        <v>0</v>
      </c>
      <c r="N27" s="13">
        <f t="shared" ca="1" si="17"/>
        <v>0</v>
      </c>
      <c r="P27" s="131" t="str">
        <f t="shared" ca="1" si="12"/>
        <v>NM</v>
      </c>
      <c r="Q27" s="13"/>
      <c r="R27" s="13">
        <f>+R28+R29+R30</f>
        <v>0</v>
      </c>
      <c r="S27" s="13">
        <f t="shared" ref="S27:BA27" si="20">+S28+S29+S30</f>
        <v>0</v>
      </c>
      <c r="T27" s="13">
        <f t="shared" si="20"/>
        <v>0</v>
      </c>
      <c r="U27" s="13">
        <f t="shared" si="20"/>
        <v>0</v>
      </c>
      <c r="V27" s="13">
        <f t="shared" ca="1" si="20"/>
        <v>0</v>
      </c>
      <c r="W27" s="13">
        <f t="shared" ca="1" si="20"/>
        <v>0</v>
      </c>
      <c r="X27" s="13">
        <f t="shared" ca="1" si="20"/>
        <v>0</v>
      </c>
      <c r="Y27" s="13">
        <f t="shared" ca="1" si="20"/>
        <v>0</v>
      </c>
      <c r="Z27" s="13">
        <f t="shared" ca="1" si="20"/>
        <v>0</v>
      </c>
      <c r="AA27" s="13">
        <f t="shared" ca="1" si="20"/>
        <v>0</v>
      </c>
      <c r="AB27" s="13">
        <f t="shared" ca="1" si="20"/>
        <v>0</v>
      </c>
      <c r="AC27" s="13">
        <f t="shared" ca="1" si="20"/>
        <v>0</v>
      </c>
      <c r="AD27" s="13">
        <f t="shared" ca="1" si="20"/>
        <v>0</v>
      </c>
      <c r="AE27" s="13">
        <f t="shared" ca="1" si="20"/>
        <v>0</v>
      </c>
      <c r="AF27" s="13">
        <f t="shared" ca="1" si="20"/>
        <v>0</v>
      </c>
      <c r="AG27" s="13">
        <f t="shared" ca="1" si="20"/>
        <v>0</v>
      </c>
      <c r="AH27" s="13">
        <f t="shared" ca="1" si="20"/>
        <v>0</v>
      </c>
      <c r="AI27" s="13">
        <f t="shared" ca="1" si="20"/>
        <v>0</v>
      </c>
      <c r="AJ27" s="13">
        <f t="shared" ca="1" si="20"/>
        <v>0</v>
      </c>
      <c r="AK27" s="13">
        <f t="shared" ca="1" si="20"/>
        <v>0</v>
      </c>
      <c r="AL27" s="13">
        <f t="shared" ca="1" si="20"/>
        <v>0</v>
      </c>
      <c r="AM27" s="13">
        <f t="shared" ca="1" si="20"/>
        <v>0</v>
      </c>
      <c r="AN27" s="13">
        <f t="shared" ca="1" si="20"/>
        <v>0</v>
      </c>
      <c r="AO27" s="13">
        <f t="shared" ca="1" si="20"/>
        <v>0</v>
      </c>
      <c r="AP27" s="13">
        <f t="shared" ca="1" si="20"/>
        <v>0</v>
      </c>
      <c r="AQ27" s="13">
        <f t="shared" ca="1" si="20"/>
        <v>0</v>
      </c>
      <c r="AR27" s="13">
        <f t="shared" ca="1" si="20"/>
        <v>0</v>
      </c>
      <c r="AS27" s="13">
        <f t="shared" ca="1" si="20"/>
        <v>0</v>
      </c>
      <c r="AT27" s="13">
        <f t="shared" ca="1" si="20"/>
        <v>0</v>
      </c>
      <c r="AU27" s="13">
        <f t="shared" ca="1" si="20"/>
        <v>0</v>
      </c>
      <c r="AV27" s="13">
        <f t="shared" ca="1" si="20"/>
        <v>0</v>
      </c>
      <c r="AW27" s="13">
        <f t="shared" ca="1" si="20"/>
        <v>0</v>
      </c>
      <c r="AX27" s="13">
        <f t="shared" ca="1" si="20"/>
        <v>0</v>
      </c>
      <c r="AY27" s="13">
        <f t="shared" ca="1" si="20"/>
        <v>0</v>
      </c>
      <c r="AZ27" s="13">
        <f t="shared" ca="1" si="20"/>
        <v>0</v>
      </c>
      <c r="BA27" s="13">
        <f t="shared" ca="1" si="20"/>
        <v>0</v>
      </c>
      <c r="BB27" s="83" t="s">
        <v>75</v>
      </c>
    </row>
    <row r="28" spans="1:54" x14ac:dyDescent="0.2">
      <c r="B28" s="19" t="s">
        <v>12</v>
      </c>
      <c r="C28" s="45" t="s">
        <v>201</v>
      </c>
      <c r="D28" s="2"/>
      <c r="E28" s="2"/>
      <c r="F28" s="11">
        <f t="shared" si="17"/>
        <v>0</v>
      </c>
      <c r="G28" s="11">
        <f t="shared" ca="1" si="17"/>
        <v>0</v>
      </c>
      <c r="H28" s="11">
        <f t="shared" ca="1" si="17"/>
        <v>0</v>
      </c>
      <c r="I28" s="11">
        <f t="shared" ca="1" si="17"/>
        <v>0</v>
      </c>
      <c r="J28" s="11">
        <f t="shared" ca="1" si="17"/>
        <v>0</v>
      </c>
      <c r="K28" s="11">
        <f t="shared" ca="1" si="17"/>
        <v>0</v>
      </c>
      <c r="L28" s="11">
        <f t="shared" ca="1" si="17"/>
        <v>0</v>
      </c>
      <c r="M28" s="11">
        <f t="shared" ca="1" si="17"/>
        <v>0</v>
      </c>
      <c r="N28" s="11">
        <f t="shared" ca="1" si="17"/>
        <v>0</v>
      </c>
      <c r="P28" s="97" t="str">
        <f t="shared" ca="1" si="12"/>
        <v>NM</v>
      </c>
      <c r="Q28" s="13"/>
      <c r="R28" s="46">
        <f>+SUMIFS(Growth!13:13,Growth!$3:$3,Segments!R$3)</f>
        <v>0</v>
      </c>
      <c r="S28" s="46">
        <f>+SUMIFS(Growth!13:13,Growth!$3:$3,Segments!S$3)</f>
        <v>0</v>
      </c>
      <c r="T28" s="46">
        <f>+SUMIFS(Growth!13:13,Growth!$3:$3,Segments!T$3)</f>
        <v>0</v>
      </c>
      <c r="U28" s="46">
        <f>+SUMIFS(Growth!13:13,Growth!$3:$3,Segments!U$3)</f>
        <v>0</v>
      </c>
      <c r="V28" s="46">
        <f ca="1">+SUMIFS(Growth!13:13,Growth!$3:$3,Segments!V$3)</f>
        <v>0</v>
      </c>
      <c r="W28" s="46">
        <f ca="1">+SUMIFS(Growth!13:13,Growth!$3:$3,Segments!W$3)</f>
        <v>0</v>
      </c>
      <c r="X28" s="46">
        <f ca="1">+SUMIFS(Growth!13:13,Growth!$3:$3,Segments!X$3)</f>
        <v>0</v>
      </c>
      <c r="Y28" s="46">
        <f ca="1">+SUMIFS(Growth!13:13,Growth!$3:$3,Segments!Y$3)</f>
        <v>0</v>
      </c>
      <c r="Z28" s="46">
        <f ca="1">+SUMIFS(Growth!13:13,Growth!$3:$3,Segments!Z$3)</f>
        <v>0</v>
      </c>
      <c r="AA28" s="46">
        <f ca="1">+SUMIFS(Growth!13:13,Growth!$3:$3,Segments!AA$3)</f>
        <v>0</v>
      </c>
      <c r="AB28" s="46">
        <f ca="1">+SUMIFS(Growth!13:13,Growth!$3:$3,Segments!AB$3)</f>
        <v>0</v>
      </c>
      <c r="AC28" s="46">
        <f ca="1">+SUMIFS(Growth!13:13,Growth!$3:$3,Segments!AC$3)</f>
        <v>0</v>
      </c>
      <c r="AD28" s="46">
        <f ca="1">+SUMIFS(Growth!13:13,Growth!$3:$3,Segments!AD$3)</f>
        <v>0</v>
      </c>
      <c r="AE28" s="46">
        <f ca="1">+SUMIFS(Growth!13:13,Growth!$3:$3,Segments!AE$3)</f>
        <v>0</v>
      </c>
      <c r="AF28" s="46">
        <f ca="1">+SUMIFS(Growth!13:13,Growth!$3:$3,Segments!AF$3)</f>
        <v>0</v>
      </c>
      <c r="AG28" s="46">
        <f ca="1">+SUMIFS(Growth!13:13,Growth!$3:$3,Segments!AG$3)</f>
        <v>0</v>
      </c>
      <c r="AH28" s="46">
        <f ca="1">+SUMIFS(Growth!13:13,Growth!$3:$3,Segments!AH$3)</f>
        <v>0</v>
      </c>
      <c r="AI28" s="46">
        <f ca="1">+SUMIFS(Growth!13:13,Growth!$3:$3,Segments!AI$3)</f>
        <v>0</v>
      </c>
      <c r="AJ28" s="46">
        <f ca="1">+SUMIFS(Growth!13:13,Growth!$3:$3,Segments!AJ$3)</f>
        <v>0</v>
      </c>
      <c r="AK28" s="46">
        <f ca="1">+SUMIFS(Growth!13:13,Growth!$3:$3,Segments!AK$3)</f>
        <v>0</v>
      </c>
      <c r="AL28" s="46">
        <f ca="1">+SUMIFS(Growth!13:13,Growth!$3:$3,Segments!AL$3)</f>
        <v>0</v>
      </c>
      <c r="AM28" s="46">
        <f ca="1">+SUMIFS(Growth!13:13,Growth!$3:$3,Segments!AM$3)</f>
        <v>0</v>
      </c>
      <c r="AN28" s="46">
        <f ca="1">+SUMIFS(Growth!13:13,Growth!$3:$3,Segments!AN$3)</f>
        <v>0</v>
      </c>
      <c r="AO28" s="46">
        <f ca="1">+SUMIFS(Growth!13:13,Growth!$3:$3,Segments!AO$3)</f>
        <v>0</v>
      </c>
      <c r="AP28" s="46">
        <f ca="1">+SUMIFS(Growth!13:13,Growth!$3:$3,Segments!AP$3)</f>
        <v>0</v>
      </c>
      <c r="AQ28" s="46">
        <f ca="1">+SUMIFS(Growth!13:13,Growth!$3:$3,Segments!AQ$3)</f>
        <v>0</v>
      </c>
      <c r="AR28" s="46">
        <f ca="1">+SUMIFS(Growth!13:13,Growth!$3:$3,Segments!AR$3)</f>
        <v>0</v>
      </c>
      <c r="AS28" s="46">
        <f ca="1">+SUMIFS(Growth!13:13,Growth!$3:$3,Segments!AS$3)</f>
        <v>0</v>
      </c>
      <c r="AT28" s="46">
        <f ca="1">+SUMIFS(Growth!13:13,Growth!$3:$3,Segments!AT$3)</f>
        <v>0</v>
      </c>
      <c r="AU28" s="46">
        <f ca="1">+SUMIFS(Growth!13:13,Growth!$3:$3,Segments!AU$3)</f>
        <v>0</v>
      </c>
      <c r="AV28" s="46">
        <f ca="1">+SUMIFS(Growth!13:13,Growth!$3:$3,Segments!AV$3)</f>
        <v>0</v>
      </c>
      <c r="AW28" s="46">
        <f ca="1">+SUMIFS(Growth!13:13,Growth!$3:$3,Segments!AW$3)</f>
        <v>0</v>
      </c>
      <c r="AX28" s="46">
        <f ca="1">+SUMIFS(Growth!13:13,Growth!$3:$3,Segments!AX$3)</f>
        <v>0</v>
      </c>
      <c r="AY28" s="46">
        <f ca="1">+SUMIFS(Growth!13:13,Growth!$3:$3,Segments!AY$3)</f>
        <v>0</v>
      </c>
      <c r="AZ28" s="46">
        <f ca="1">+SUMIFS(Growth!13:13,Growth!$3:$3,Segments!AZ$3)</f>
        <v>0</v>
      </c>
      <c r="BA28" s="46">
        <f ca="1">+SUMIFS(Growth!13:13,Growth!$3:$3,Segments!BA$3)</f>
        <v>0</v>
      </c>
      <c r="BB28" s="8" t="s">
        <v>75</v>
      </c>
    </row>
    <row r="29" spans="1:54" x14ac:dyDescent="0.2">
      <c r="B29" s="19" t="s">
        <v>13</v>
      </c>
      <c r="C29" s="45" t="s">
        <v>201</v>
      </c>
      <c r="D29" s="2"/>
      <c r="E29" s="2"/>
      <c r="F29" s="11">
        <f t="shared" si="17"/>
        <v>0</v>
      </c>
      <c r="G29" s="11">
        <f t="shared" ca="1" si="17"/>
        <v>0</v>
      </c>
      <c r="H29" s="11">
        <f t="shared" ca="1" si="17"/>
        <v>0</v>
      </c>
      <c r="I29" s="11">
        <f t="shared" ca="1" si="17"/>
        <v>0</v>
      </c>
      <c r="J29" s="11">
        <f t="shared" ca="1" si="17"/>
        <v>0</v>
      </c>
      <c r="K29" s="11">
        <f t="shared" ca="1" si="17"/>
        <v>0</v>
      </c>
      <c r="L29" s="11">
        <f t="shared" ca="1" si="17"/>
        <v>0</v>
      </c>
      <c r="M29" s="11">
        <f t="shared" ca="1" si="17"/>
        <v>0</v>
      </c>
      <c r="N29" s="11">
        <f t="shared" ca="1" si="17"/>
        <v>0</v>
      </c>
      <c r="P29" s="97" t="str">
        <f t="shared" ca="1" si="12"/>
        <v>NM</v>
      </c>
      <c r="Q29" s="13"/>
      <c r="R29" s="46">
        <f>+SUMIFS(Growth!20:20,Growth!$3:$3,Segments!R$3)</f>
        <v>0</v>
      </c>
      <c r="S29" s="46">
        <f>+SUMIFS(Growth!20:20,Growth!$3:$3,Segments!S$3)</f>
        <v>0</v>
      </c>
      <c r="T29" s="46">
        <f>+SUMIFS(Growth!20:20,Growth!$3:$3,Segments!T$3)</f>
        <v>0</v>
      </c>
      <c r="U29" s="46">
        <f>+SUMIFS(Growth!20:20,Growth!$3:$3,Segments!U$3)</f>
        <v>0</v>
      </c>
      <c r="V29" s="46">
        <f ca="1">+SUMIFS(Growth!20:20,Growth!$3:$3,Segments!V$3)</f>
        <v>0</v>
      </c>
      <c r="W29" s="46">
        <f ca="1">+SUMIFS(Growth!20:20,Growth!$3:$3,Segments!W$3)</f>
        <v>0</v>
      </c>
      <c r="X29" s="46">
        <f ca="1">+SUMIFS(Growth!20:20,Growth!$3:$3,Segments!X$3)</f>
        <v>0</v>
      </c>
      <c r="Y29" s="46">
        <f ca="1">+SUMIFS(Growth!20:20,Growth!$3:$3,Segments!Y$3)</f>
        <v>0</v>
      </c>
      <c r="Z29" s="46">
        <f ca="1">+SUMIFS(Growth!20:20,Growth!$3:$3,Segments!Z$3)</f>
        <v>0</v>
      </c>
      <c r="AA29" s="46">
        <f ca="1">+SUMIFS(Growth!20:20,Growth!$3:$3,Segments!AA$3)</f>
        <v>0</v>
      </c>
      <c r="AB29" s="46">
        <f ca="1">+SUMIFS(Growth!20:20,Growth!$3:$3,Segments!AB$3)</f>
        <v>0</v>
      </c>
      <c r="AC29" s="46">
        <f ca="1">+SUMIFS(Growth!20:20,Growth!$3:$3,Segments!AC$3)</f>
        <v>0</v>
      </c>
      <c r="AD29" s="46">
        <f ca="1">+SUMIFS(Growth!20:20,Growth!$3:$3,Segments!AD$3)</f>
        <v>0</v>
      </c>
      <c r="AE29" s="46">
        <f ca="1">+SUMIFS(Growth!20:20,Growth!$3:$3,Segments!AE$3)</f>
        <v>0</v>
      </c>
      <c r="AF29" s="46">
        <f ca="1">+SUMIFS(Growth!20:20,Growth!$3:$3,Segments!AF$3)</f>
        <v>0</v>
      </c>
      <c r="AG29" s="46">
        <f ca="1">+SUMIFS(Growth!20:20,Growth!$3:$3,Segments!AG$3)</f>
        <v>0</v>
      </c>
      <c r="AH29" s="46">
        <f ca="1">+SUMIFS(Growth!20:20,Growth!$3:$3,Segments!AH$3)</f>
        <v>0</v>
      </c>
      <c r="AI29" s="46">
        <f ca="1">+SUMIFS(Growth!20:20,Growth!$3:$3,Segments!AI$3)</f>
        <v>0</v>
      </c>
      <c r="AJ29" s="46">
        <f ca="1">+SUMIFS(Growth!20:20,Growth!$3:$3,Segments!AJ$3)</f>
        <v>0</v>
      </c>
      <c r="AK29" s="46">
        <f ca="1">+SUMIFS(Growth!20:20,Growth!$3:$3,Segments!AK$3)</f>
        <v>0</v>
      </c>
      <c r="AL29" s="46">
        <f ca="1">+SUMIFS(Growth!20:20,Growth!$3:$3,Segments!AL$3)</f>
        <v>0</v>
      </c>
      <c r="AM29" s="46">
        <f ca="1">+SUMIFS(Growth!20:20,Growth!$3:$3,Segments!AM$3)</f>
        <v>0</v>
      </c>
      <c r="AN29" s="46">
        <f ca="1">+SUMIFS(Growth!20:20,Growth!$3:$3,Segments!AN$3)</f>
        <v>0</v>
      </c>
      <c r="AO29" s="46">
        <f ca="1">+SUMIFS(Growth!20:20,Growth!$3:$3,Segments!AO$3)</f>
        <v>0</v>
      </c>
      <c r="AP29" s="46">
        <f ca="1">+SUMIFS(Growth!20:20,Growth!$3:$3,Segments!AP$3)</f>
        <v>0</v>
      </c>
      <c r="AQ29" s="46">
        <f ca="1">+SUMIFS(Growth!20:20,Growth!$3:$3,Segments!AQ$3)</f>
        <v>0</v>
      </c>
      <c r="AR29" s="46">
        <f ca="1">+SUMIFS(Growth!20:20,Growth!$3:$3,Segments!AR$3)</f>
        <v>0</v>
      </c>
      <c r="AS29" s="46">
        <f ca="1">+SUMIFS(Growth!20:20,Growth!$3:$3,Segments!AS$3)</f>
        <v>0</v>
      </c>
      <c r="AT29" s="46">
        <f ca="1">+SUMIFS(Growth!20:20,Growth!$3:$3,Segments!AT$3)</f>
        <v>0</v>
      </c>
      <c r="AU29" s="46">
        <f ca="1">+SUMIFS(Growth!20:20,Growth!$3:$3,Segments!AU$3)</f>
        <v>0</v>
      </c>
      <c r="AV29" s="46">
        <f ca="1">+SUMIFS(Growth!20:20,Growth!$3:$3,Segments!AV$3)</f>
        <v>0</v>
      </c>
      <c r="AW29" s="46">
        <f ca="1">+SUMIFS(Growth!20:20,Growth!$3:$3,Segments!AW$3)</f>
        <v>0</v>
      </c>
      <c r="AX29" s="46">
        <f ca="1">+SUMIFS(Growth!20:20,Growth!$3:$3,Segments!AX$3)</f>
        <v>0</v>
      </c>
      <c r="AY29" s="46">
        <f ca="1">+SUMIFS(Growth!20:20,Growth!$3:$3,Segments!AY$3)</f>
        <v>0</v>
      </c>
      <c r="AZ29" s="46">
        <f ca="1">+SUMIFS(Growth!20:20,Growth!$3:$3,Segments!AZ$3)</f>
        <v>0</v>
      </c>
      <c r="BA29" s="46">
        <f ca="1">+SUMIFS(Growth!20:20,Growth!$3:$3,Segments!BA$3)</f>
        <v>0</v>
      </c>
      <c r="BB29" s="8" t="s">
        <v>75</v>
      </c>
    </row>
    <row r="30" spans="1:54" x14ac:dyDescent="0.2">
      <c r="B30" s="19" t="s">
        <v>15</v>
      </c>
      <c r="C30" s="45" t="s">
        <v>201</v>
      </c>
      <c r="D30" s="2"/>
      <c r="E30" s="2"/>
      <c r="F30" s="11">
        <f t="shared" si="17"/>
        <v>0</v>
      </c>
      <c r="G30" s="11">
        <f t="shared" ca="1" si="17"/>
        <v>0</v>
      </c>
      <c r="H30" s="11">
        <f t="shared" ca="1" si="17"/>
        <v>0</v>
      </c>
      <c r="I30" s="11">
        <f t="shared" ca="1" si="17"/>
        <v>0</v>
      </c>
      <c r="J30" s="11">
        <f t="shared" ca="1" si="17"/>
        <v>0</v>
      </c>
      <c r="K30" s="11">
        <f t="shared" ca="1" si="17"/>
        <v>0</v>
      </c>
      <c r="L30" s="11">
        <f t="shared" ca="1" si="17"/>
        <v>0</v>
      </c>
      <c r="M30" s="11">
        <f t="shared" ca="1" si="17"/>
        <v>0</v>
      </c>
      <c r="N30" s="11">
        <f t="shared" ca="1" si="17"/>
        <v>0</v>
      </c>
      <c r="P30" s="97" t="str">
        <f t="shared" ca="1" si="12"/>
        <v>NM</v>
      </c>
      <c r="Q30" s="13"/>
      <c r="R30" s="46">
        <f>+SUMIFS(Growth!21:21,Growth!$3:$3,Segments!R$3)</f>
        <v>0</v>
      </c>
      <c r="S30" s="46">
        <f>+SUMIFS(Growth!21:21,Growth!$3:$3,Segments!S$3)</f>
        <v>0</v>
      </c>
      <c r="T30" s="46">
        <f>+SUMIFS(Growth!21:21,Growth!$3:$3,Segments!T$3)</f>
        <v>0</v>
      </c>
      <c r="U30" s="46">
        <f>+SUMIFS(Growth!21:21,Growth!$3:$3,Segments!U$3)</f>
        <v>0</v>
      </c>
      <c r="V30" s="46">
        <f ca="1">+SUMIFS(Growth!21:21,Growth!$3:$3,Segments!V$3)</f>
        <v>0</v>
      </c>
      <c r="W30" s="46">
        <f ca="1">+SUMIFS(Growth!21:21,Growth!$3:$3,Segments!W$3)</f>
        <v>0</v>
      </c>
      <c r="X30" s="46">
        <f ca="1">+SUMIFS(Growth!21:21,Growth!$3:$3,Segments!X$3)</f>
        <v>0</v>
      </c>
      <c r="Y30" s="46">
        <f ca="1">+SUMIFS(Growth!21:21,Growth!$3:$3,Segments!Y$3)</f>
        <v>0</v>
      </c>
      <c r="Z30" s="46">
        <f ca="1">+SUMIFS(Growth!21:21,Growth!$3:$3,Segments!Z$3)</f>
        <v>0</v>
      </c>
      <c r="AA30" s="46">
        <f ca="1">+SUMIFS(Growth!21:21,Growth!$3:$3,Segments!AA$3)</f>
        <v>0</v>
      </c>
      <c r="AB30" s="46">
        <f ca="1">+SUMIFS(Growth!21:21,Growth!$3:$3,Segments!AB$3)</f>
        <v>0</v>
      </c>
      <c r="AC30" s="46">
        <f ca="1">+SUMIFS(Growth!21:21,Growth!$3:$3,Segments!AC$3)</f>
        <v>0</v>
      </c>
      <c r="AD30" s="46">
        <f ca="1">+SUMIFS(Growth!21:21,Growth!$3:$3,Segments!AD$3)</f>
        <v>0</v>
      </c>
      <c r="AE30" s="46">
        <f ca="1">+SUMIFS(Growth!21:21,Growth!$3:$3,Segments!AE$3)</f>
        <v>0</v>
      </c>
      <c r="AF30" s="46">
        <f ca="1">+SUMIFS(Growth!21:21,Growth!$3:$3,Segments!AF$3)</f>
        <v>0</v>
      </c>
      <c r="AG30" s="46">
        <f ca="1">+SUMIFS(Growth!21:21,Growth!$3:$3,Segments!AG$3)</f>
        <v>0</v>
      </c>
      <c r="AH30" s="46">
        <f ca="1">+SUMIFS(Growth!21:21,Growth!$3:$3,Segments!AH$3)</f>
        <v>0</v>
      </c>
      <c r="AI30" s="46">
        <f ca="1">+SUMIFS(Growth!21:21,Growth!$3:$3,Segments!AI$3)</f>
        <v>0</v>
      </c>
      <c r="AJ30" s="46">
        <f ca="1">+SUMIFS(Growth!21:21,Growth!$3:$3,Segments!AJ$3)</f>
        <v>0</v>
      </c>
      <c r="AK30" s="46">
        <f ca="1">+SUMIFS(Growth!21:21,Growth!$3:$3,Segments!AK$3)</f>
        <v>0</v>
      </c>
      <c r="AL30" s="46">
        <f ca="1">+SUMIFS(Growth!21:21,Growth!$3:$3,Segments!AL$3)</f>
        <v>0</v>
      </c>
      <c r="AM30" s="46">
        <f ca="1">+SUMIFS(Growth!21:21,Growth!$3:$3,Segments!AM$3)</f>
        <v>0</v>
      </c>
      <c r="AN30" s="46">
        <f ca="1">+SUMIFS(Growth!21:21,Growth!$3:$3,Segments!AN$3)</f>
        <v>0</v>
      </c>
      <c r="AO30" s="46">
        <f ca="1">+SUMIFS(Growth!21:21,Growth!$3:$3,Segments!AO$3)</f>
        <v>0</v>
      </c>
      <c r="AP30" s="46">
        <f ca="1">+SUMIFS(Growth!21:21,Growth!$3:$3,Segments!AP$3)</f>
        <v>0</v>
      </c>
      <c r="AQ30" s="46">
        <f ca="1">+SUMIFS(Growth!21:21,Growth!$3:$3,Segments!AQ$3)</f>
        <v>0</v>
      </c>
      <c r="AR30" s="46">
        <f ca="1">+SUMIFS(Growth!21:21,Growth!$3:$3,Segments!AR$3)</f>
        <v>0</v>
      </c>
      <c r="AS30" s="46">
        <f ca="1">+SUMIFS(Growth!21:21,Growth!$3:$3,Segments!AS$3)</f>
        <v>0</v>
      </c>
      <c r="AT30" s="46">
        <f ca="1">+SUMIFS(Growth!21:21,Growth!$3:$3,Segments!AT$3)</f>
        <v>0</v>
      </c>
      <c r="AU30" s="46">
        <f ca="1">+SUMIFS(Growth!21:21,Growth!$3:$3,Segments!AU$3)</f>
        <v>0</v>
      </c>
      <c r="AV30" s="46">
        <f ca="1">+SUMIFS(Growth!21:21,Growth!$3:$3,Segments!AV$3)</f>
        <v>0</v>
      </c>
      <c r="AW30" s="46">
        <f ca="1">+SUMIFS(Growth!21:21,Growth!$3:$3,Segments!AW$3)</f>
        <v>0</v>
      </c>
      <c r="AX30" s="46">
        <f ca="1">+SUMIFS(Growth!21:21,Growth!$3:$3,Segments!AX$3)</f>
        <v>0</v>
      </c>
      <c r="AY30" s="46">
        <f ca="1">+SUMIFS(Growth!21:21,Growth!$3:$3,Segments!AY$3)</f>
        <v>0</v>
      </c>
      <c r="AZ30" s="46">
        <f ca="1">+SUMIFS(Growth!21:21,Growth!$3:$3,Segments!AZ$3)</f>
        <v>0</v>
      </c>
      <c r="BA30" s="46">
        <f ca="1">+SUMIFS(Growth!21:21,Growth!$3:$3,Segments!BA$3)</f>
        <v>0</v>
      </c>
      <c r="BB30" s="8" t="s">
        <v>75</v>
      </c>
    </row>
    <row r="31" spans="1:54" s="2" customFormat="1" x14ac:dyDescent="0.2">
      <c r="B31" s="2" t="s">
        <v>17</v>
      </c>
      <c r="C31" s="45" t="s">
        <v>201</v>
      </c>
      <c r="F31" s="13">
        <f t="shared" ref="F31:N31" si="21">+SUMIFS(31:31,$6:$6,F$3)</f>
        <v>8474.9135500000011</v>
      </c>
      <c r="G31" s="13">
        <f t="shared" ca="1" si="21"/>
        <v>10190.4081554</v>
      </c>
      <c r="H31" s="13">
        <f t="shared" ca="1" si="21"/>
        <v>12206.988066081632</v>
      </c>
      <c r="I31" s="13">
        <f t="shared" ca="1" si="21"/>
        <v>13290.571998966234</v>
      </c>
      <c r="J31" s="13">
        <f t="shared" ca="1" si="21"/>
        <v>15577.659829611972</v>
      </c>
      <c r="K31" s="13">
        <f t="shared" ca="1" si="21"/>
        <v>16426.477444670803</v>
      </c>
      <c r="L31" s="13">
        <f t="shared" ca="1" si="21"/>
        <v>17330.741807689286</v>
      </c>
      <c r="M31" s="13">
        <f t="shared" ca="1" si="21"/>
        <v>18294.065516179369</v>
      </c>
      <c r="N31" s="13">
        <f t="shared" ca="1" si="21"/>
        <v>19264.59886907371</v>
      </c>
      <c r="P31" s="131">
        <f t="shared" ca="1" si="12"/>
        <v>7.7068338602926501E-2</v>
      </c>
      <c r="R31" s="13">
        <f>+R12+R16+R21+R24+R27</f>
        <v>1801.7338530000002</v>
      </c>
      <c r="S31" s="13">
        <f t="shared" ref="S31:BA31" si="22">+S12+S16+S21+S24+S27</f>
        <v>2212.7556639999998</v>
      </c>
      <c r="T31" s="13">
        <f t="shared" si="22"/>
        <v>2545.8641470000002</v>
      </c>
      <c r="U31" s="13">
        <f t="shared" si="22"/>
        <v>1914.559886</v>
      </c>
      <c r="V31" s="13">
        <f t="shared" ca="1" si="22"/>
        <v>2239.1546070000004</v>
      </c>
      <c r="W31" s="13">
        <f t="shared" ca="1" si="22"/>
        <v>2583.5016109999997</v>
      </c>
      <c r="X31" s="13">
        <f t="shared" ca="1" si="22"/>
        <v>3243.051007</v>
      </c>
      <c r="Y31" s="13">
        <f t="shared" ca="1" si="22"/>
        <v>2124.7009303999998</v>
      </c>
      <c r="Z31" s="13">
        <f t="shared" ca="1" si="22"/>
        <v>2910.2775070816328</v>
      </c>
      <c r="AA31" s="13">
        <f t="shared" ca="1" si="22"/>
        <v>3686.3905589999999</v>
      </c>
      <c r="AB31" s="13">
        <f t="shared" ca="1" si="22"/>
        <v>3811.7689829999999</v>
      </c>
      <c r="AC31" s="13">
        <f t="shared" ca="1" si="22"/>
        <v>1798.551017</v>
      </c>
      <c r="AD31" s="13">
        <f t="shared" ca="1" si="22"/>
        <v>3321.2121873401411</v>
      </c>
      <c r="AE31" s="13">
        <f t="shared" ca="1" si="22"/>
        <v>4011.551689585689</v>
      </c>
      <c r="AF31" s="13">
        <f t="shared" ca="1" si="22"/>
        <v>4041.5688077102868</v>
      </c>
      <c r="AG31" s="13">
        <f t="shared" ca="1" si="22"/>
        <v>1916.2393143301174</v>
      </c>
      <c r="AH31" s="13">
        <f t="shared" ca="1" si="22"/>
        <v>3880.6060707249617</v>
      </c>
      <c r="AI31" s="13">
        <f t="shared" ca="1" si="22"/>
        <v>4624.6429417281506</v>
      </c>
      <c r="AJ31" s="13">
        <f t="shared" ca="1" si="22"/>
        <v>4658.1467832883936</v>
      </c>
      <c r="AK31" s="13">
        <f t="shared" ca="1" si="22"/>
        <v>2414.2640338704664</v>
      </c>
      <c r="AL31" s="13">
        <f t="shared" ca="1" si="22"/>
        <v>4079.2313926574566</v>
      </c>
      <c r="AM31" s="13">
        <f t="shared" ca="1" si="22"/>
        <v>4878.8733239386656</v>
      </c>
      <c r="AN31" s="13">
        <f t="shared" ca="1" si="22"/>
        <v>4917.3770227269933</v>
      </c>
      <c r="AO31" s="13">
        <f t="shared" ca="1" si="22"/>
        <v>2550.9957053476874</v>
      </c>
      <c r="AP31" s="13">
        <f t="shared" ca="1" si="22"/>
        <v>4290.4528195902822</v>
      </c>
      <c r="AQ31" s="13">
        <f t="shared" ca="1" si="22"/>
        <v>5150.0426786826665</v>
      </c>
      <c r="AR31" s="13">
        <f t="shared" ca="1" si="22"/>
        <v>5193.7546144658399</v>
      </c>
      <c r="AS31" s="13">
        <f t="shared" ca="1" si="22"/>
        <v>2696.4916949505005</v>
      </c>
      <c r="AT31" s="13">
        <f t="shared" ca="1" si="22"/>
        <v>4515.082405251469</v>
      </c>
      <c r="AU31" s="13">
        <f t="shared" ca="1" si="22"/>
        <v>5439.2637172206687</v>
      </c>
      <c r="AV31" s="13">
        <f t="shared" ca="1" si="22"/>
        <v>5488.4037045987989</v>
      </c>
      <c r="AW31" s="13">
        <f t="shared" ca="1" si="22"/>
        <v>2851.3156891084341</v>
      </c>
      <c r="AX31" s="13">
        <f t="shared" ca="1" si="22"/>
        <v>4741.551742941534</v>
      </c>
      <c r="AY31" s="13">
        <f t="shared" ca="1" si="22"/>
        <v>5730.4405684897738</v>
      </c>
      <c r="AZ31" s="13">
        <f t="shared" ca="1" si="22"/>
        <v>5785.0739901912666</v>
      </c>
      <c r="BA31" s="13">
        <f t="shared" ca="1" si="22"/>
        <v>3007.5325674511373</v>
      </c>
      <c r="BB31" s="83" t="s">
        <v>75</v>
      </c>
    </row>
    <row r="32" spans="1:54" s="3" customFormat="1" x14ac:dyDescent="0.2">
      <c r="A32" s="17" t="s">
        <v>75</v>
      </c>
      <c r="B32" s="3" t="s">
        <v>131</v>
      </c>
      <c r="F32" s="225"/>
      <c r="G32" s="225"/>
      <c r="H32" s="225"/>
      <c r="I32" s="225"/>
      <c r="J32" s="225"/>
      <c r="K32" s="225"/>
      <c r="L32" s="225"/>
      <c r="M32" s="225"/>
      <c r="N32" s="225"/>
      <c r="BB32" s="87" t="s">
        <v>75</v>
      </c>
    </row>
    <row r="33" spans="2:54" s="2" customFormat="1" x14ac:dyDescent="0.2">
      <c r="B33" s="2" t="s">
        <v>132</v>
      </c>
      <c r="C33" s="45" t="s">
        <v>164</v>
      </c>
      <c r="G33" s="13">
        <f t="shared" ref="G33:H44" ca="1" si="23">+SUMIFS(33:33,$6:$6,G$3)</f>
        <v>237.64341527614656</v>
      </c>
      <c r="H33" s="13">
        <f t="shared" ca="1" si="23"/>
        <v>279.54777409977936</v>
      </c>
      <c r="I33" s="13"/>
      <c r="J33" s="13"/>
      <c r="K33" s="13"/>
      <c r="L33" s="13"/>
      <c r="M33" s="13"/>
      <c r="N33" s="13"/>
      <c r="V33" s="24">
        <f t="shared" ref="V33:AC33" ca="1" si="24">+V34+V35+V36</f>
        <v>50.741781111694948</v>
      </c>
      <c r="W33" s="24">
        <f t="shared" ca="1" si="24"/>
        <v>64.687389147575715</v>
      </c>
      <c r="X33" s="24">
        <f t="shared" ca="1" si="24"/>
        <v>68.474523258719046</v>
      </c>
      <c r="Y33" s="24">
        <f t="shared" ca="1" si="24"/>
        <v>53.739721758156826</v>
      </c>
      <c r="Z33" s="24">
        <f t="shared" ca="1" si="24"/>
        <v>47.740658049177668</v>
      </c>
      <c r="AA33" s="24">
        <f t="shared" ca="1" si="24"/>
        <v>79.135090569553952</v>
      </c>
      <c r="AB33" s="24">
        <f t="shared" ca="1" si="24"/>
        <v>86.379958400751221</v>
      </c>
      <c r="AC33" s="24">
        <f t="shared" ca="1" si="24"/>
        <v>66.292067080296547</v>
      </c>
      <c r="BB33" s="83" t="s">
        <v>75</v>
      </c>
    </row>
    <row r="34" spans="2:54" x14ac:dyDescent="0.2">
      <c r="B34" s="19" t="s">
        <v>133</v>
      </c>
      <c r="C34" s="45" t="s">
        <v>164</v>
      </c>
      <c r="D34" s="19"/>
      <c r="E34" s="19"/>
      <c r="F34" s="19"/>
      <c r="G34" s="11">
        <f t="shared" ca="1" si="23"/>
        <v>233.20267763703589</v>
      </c>
      <c r="H34" s="11">
        <f t="shared" ca="1" si="23"/>
        <v>240.777077894711</v>
      </c>
      <c r="I34" s="11">
        <f t="shared" ref="I34:N34" ca="1" si="25">+SUMIFS(34:34,$6:$6,I$3)</f>
        <v>264.69096217814979</v>
      </c>
      <c r="J34" s="11">
        <f t="shared" ca="1" si="25"/>
        <v>289.49904535493863</v>
      </c>
      <c r="K34" s="11">
        <f t="shared" ca="1" si="25"/>
        <v>308.0093690299272</v>
      </c>
      <c r="L34" s="11">
        <f t="shared" ca="1" si="25"/>
        <v>328.19161940259755</v>
      </c>
      <c r="M34" s="11">
        <f t="shared" ca="1" si="25"/>
        <v>350.19690499574619</v>
      </c>
      <c r="N34" s="11">
        <f t="shared" ca="1" si="25"/>
        <v>373.02417309336403</v>
      </c>
      <c r="P34" s="97">
        <f ca="1">+IFERROR((N34/I34)^(1/5)-1,"NM")</f>
        <v>7.1024912269773477E-2</v>
      </c>
      <c r="R34" s="19"/>
      <c r="S34" s="19"/>
      <c r="T34" s="19"/>
      <c r="U34" s="19"/>
      <c r="V34" s="46">
        <f ca="1">+SUMIFS(Segments!41:41,Segments!$3:$3,'Segments USD'!V$3)/V$9</f>
        <v>51.975901385331433</v>
      </c>
      <c r="W34" s="46">
        <f ca="1">+SUMIFS(Segments!41:41,Segments!$3:$3,'Segments USD'!W$3)/W$9</f>
        <v>60.392551136599671</v>
      </c>
      <c r="X34" s="46">
        <f ca="1">+SUMIFS(Segments!41:41,Segments!$3:$3,'Segments USD'!X$3)/X$9</f>
        <v>67.311857835416276</v>
      </c>
      <c r="Y34" s="46">
        <f ca="1">+SUMIFS(Segments!41:41,Segments!$3:$3,'Segments USD'!Y$3)/Y$9</f>
        <v>53.522367279688517</v>
      </c>
      <c r="Z34" s="46">
        <f ca="1">+SUMIFS(Segments!41:41,Segments!$3:$3,'Segments USD'!Z$3)/Z$9</f>
        <v>53.186876164717198</v>
      </c>
      <c r="AA34" s="46">
        <f ca="1">+SUMIFS(Segments!41:41,Segments!$3:$3,'Segments USD'!AA$3)/AA$9</f>
        <v>64.805575010880702</v>
      </c>
      <c r="AB34" s="46">
        <f ca="1">+SUMIFS(Segments!41:41,Segments!$3:$3,'Segments USD'!AB$3)/AB$9</f>
        <v>67.796336843911234</v>
      </c>
      <c r="AC34" s="46">
        <f ca="1">+SUMIFS(Segments!41:41,Segments!$3:$3,'Segments USD'!AC$3)/AC$9</f>
        <v>54.988289875201858</v>
      </c>
      <c r="AD34" s="46">
        <f ca="1">+SUMIFS(Segments!41:41,Segments!$3:$3,'Segments USD'!AD$3)/AD$9</f>
        <v>60.707678312581741</v>
      </c>
      <c r="AE34" s="46">
        <f ca="1">+SUMIFS(Segments!41:41,Segments!$3:$3,'Segments USD'!AE$3)/AE$9</f>
        <v>76.41590290268276</v>
      </c>
      <c r="AF34" s="46">
        <f ca="1">+SUMIFS(Segments!41:41,Segments!$3:$3,'Segments USD'!AF$3)/AF$9</f>
        <v>74.217891371973991</v>
      </c>
      <c r="AG34" s="46">
        <f ca="1">+SUMIFS(Segments!41:41,Segments!$3:$3,'Segments USD'!AG$3)/AG$9</f>
        <v>53.349489590911332</v>
      </c>
      <c r="AH34" s="46">
        <f ca="1">+SUMIFS(Segments!41:41,Segments!$3:$3,'Segments USD'!AH$3)/AH$9</f>
        <v>64.303158827253341</v>
      </c>
      <c r="AI34" s="46">
        <f ca="1">+SUMIFS(Segments!41:41,Segments!$3:$3,'Segments USD'!AI$3)/AI$9</f>
        <v>84.33668192082267</v>
      </c>
      <c r="AJ34" s="46">
        <f ca="1">+SUMIFS(Segments!41:41,Segments!$3:$3,'Segments USD'!AJ$3)/AJ$9</f>
        <v>81.923632354187973</v>
      </c>
      <c r="AK34" s="46">
        <f ca="1">+SUMIFS(Segments!41:41,Segments!$3:$3,'Segments USD'!AK$3)/AK$9</f>
        <v>58.935572252674653</v>
      </c>
      <c r="AL34" s="46">
        <f ca="1">+SUMIFS(Segments!41:41,Segments!$3:$3,'Segments USD'!AL$3)/AL$9</f>
        <v>68.079289896834524</v>
      </c>
      <c r="AM34" s="46">
        <f ca="1">+SUMIFS(Segments!41:41,Segments!$3:$3,'Segments USD'!AM$3)/AM$9</f>
        <v>90.121432361483471</v>
      </c>
      <c r="AN34" s="46">
        <f ca="1">+SUMIFS(Segments!41:41,Segments!$3:$3,'Segments USD'!AN$3)/AN$9</f>
        <v>87.523141688500274</v>
      </c>
      <c r="AO34" s="46">
        <f ca="1">+SUMIFS(Segments!41:41,Segments!$3:$3,'Segments USD'!AO$3)/AO$9</f>
        <v>62.285505083108959</v>
      </c>
      <c r="AP34" s="46">
        <f ca="1">+SUMIFS(Segments!41:41,Segments!$3:$3,'Segments USD'!AP$3)/AP$9</f>
        <v>72.189391762926917</v>
      </c>
      <c r="AQ34" s="46">
        <f ca="1">+SUMIFS(Segments!41:41,Segments!$3:$3,'Segments USD'!AQ$3)/AQ$9</f>
        <v>96.435534486066473</v>
      </c>
      <c r="AR34" s="46">
        <f ca="1">+SUMIFS(Segments!41:41,Segments!$3:$3,'Segments USD'!AR$3)/AR$9</f>
        <v>93.636713888566149</v>
      </c>
      <c r="AS34" s="46">
        <f ca="1">+SUMIFS(Segments!41:41,Segments!$3:$3,'Segments USD'!AS$3)/AS$9</f>
        <v>65.929979265037986</v>
      </c>
      <c r="AT34" s="46">
        <f ca="1">+SUMIFS(Segments!41:41,Segments!$3:$3,'Segments USD'!AT$3)/AT$9</f>
        <v>76.663475980684808</v>
      </c>
      <c r="AU34" s="46">
        <f ca="1">+SUMIFS(Segments!41:41,Segments!$3:$3,'Segments USD'!AU$3)/AU$9</f>
        <v>103.32696138847683</v>
      </c>
      <c r="AV34" s="46">
        <f ca="1">+SUMIFS(Segments!41:41,Segments!$3:$3,'Segments USD'!AV$3)/AV$9</f>
        <v>100.31102940923465</v>
      </c>
      <c r="AW34" s="46">
        <f ca="1">+SUMIFS(Segments!41:41,Segments!$3:$3,'Segments USD'!AW$3)/AW$9</f>
        <v>69.895438217349948</v>
      </c>
      <c r="AX34" s="46">
        <f ca="1">+SUMIFS(Segments!41:41,Segments!$3:$3,'Segments USD'!AX$3)/AX$9</f>
        <v>81.304261180403927</v>
      </c>
      <c r="AY34" s="46">
        <f ca="1">+SUMIFS(Segments!41:41,Segments!$3:$3,'Segments USD'!AY$3)/AY$9</f>
        <v>110.4765681996568</v>
      </c>
      <c r="AZ34" s="46">
        <f ca="1">+SUMIFS(Segments!41:41,Segments!$3:$3,'Segments USD'!AZ$3)/AZ$9</f>
        <v>107.23487259863393</v>
      </c>
      <c r="BA34" s="46">
        <f ca="1">+SUMIFS(Segments!41:41,Segments!$3:$3,'Segments USD'!BA$3)/BA$9</f>
        <v>74.008471114669348</v>
      </c>
      <c r="BB34" s="8" t="s">
        <v>75</v>
      </c>
    </row>
    <row r="35" spans="2:54" x14ac:dyDescent="0.2">
      <c r="B35" s="19" t="s">
        <v>134</v>
      </c>
      <c r="C35" s="45" t="s">
        <v>164</v>
      </c>
      <c r="D35" s="19"/>
      <c r="E35" s="19"/>
      <c r="F35" s="19"/>
      <c r="G35" s="11">
        <f t="shared" ca="1" si="23"/>
        <v>11.260520421116357</v>
      </c>
      <c r="H35" s="11">
        <f t="shared" ca="1" si="23"/>
        <v>67.982458965627814</v>
      </c>
      <c r="I35" s="11"/>
      <c r="J35" s="11"/>
      <c r="K35" s="11"/>
      <c r="L35" s="11"/>
      <c r="M35" s="11"/>
      <c r="N35" s="11"/>
      <c r="R35" s="19"/>
      <c r="S35" s="19"/>
      <c r="T35" s="19"/>
      <c r="U35" s="19"/>
      <c r="V35" s="46">
        <f ca="1">+SUMIFS(Segments!42:42,Segments!$3:$3,'Segments USD'!V$3)/V$9</f>
        <v>1.7425751903675988E-2</v>
      </c>
      <c r="W35" s="46">
        <f ca="1">+SUMIFS(Segments!42:42,Segments!$3:$3,'Segments USD'!W$3)/W$9</f>
        <v>5.3228742230592516</v>
      </c>
      <c r="X35" s="46">
        <f ca="1">+SUMIFS(Segments!42:42,Segments!$3:$3,'Segments USD'!X$3)/X$9</f>
        <v>5.9458122685809425</v>
      </c>
      <c r="Y35" s="46">
        <f ca="1">+SUMIFS(Segments!42:42,Segments!$3:$3,'Segments USD'!Y$3)/Y$9</f>
        <v>-2.5591822427511842E-2</v>
      </c>
      <c r="Z35" s="46">
        <f ca="1">+SUMIFS(Segments!42:42,Segments!$3:$3,'Segments USD'!Z$3)/Z$9</f>
        <v>14.446153545571901</v>
      </c>
      <c r="AA35" s="46">
        <f ca="1">+SUMIFS(Segments!42:42,Segments!$3:$3,'Segments USD'!AA$3)/AA$9</f>
        <v>21.496543566591036</v>
      </c>
      <c r="AB35" s="46">
        <f ca="1">+SUMIFS(Segments!42:42,Segments!$3:$3,'Segments USD'!AB$3)/AB$9</f>
        <v>24.518346714000941</v>
      </c>
      <c r="AC35" s="46">
        <f ca="1">+SUMIFS(Segments!42:42,Segments!$3:$3,'Segments USD'!AC$3)/AC$9</f>
        <v>7.5214151394639313</v>
      </c>
      <c r="BB35" s="8" t="s">
        <v>75</v>
      </c>
    </row>
    <row r="36" spans="2:54" x14ac:dyDescent="0.2">
      <c r="B36" s="19" t="s">
        <v>135</v>
      </c>
      <c r="C36" s="45" t="s">
        <v>164</v>
      </c>
      <c r="D36" s="19"/>
      <c r="E36" s="19"/>
      <c r="F36" s="19"/>
      <c r="G36" s="11">
        <f t="shared" ca="1" si="23"/>
        <v>-6.8197827820057118</v>
      </c>
      <c r="H36" s="11">
        <f t="shared" ca="1" si="23"/>
        <v>-29.211762760559402</v>
      </c>
      <c r="I36" s="11"/>
      <c r="J36" s="11"/>
      <c r="K36" s="11"/>
      <c r="L36" s="11"/>
      <c r="M36" s="11"/>
      <c r="N36" s="11"/>
      <c r="R36" s="19"/>
      <c r="S36" s="19"/>
      <c r="T36" s="19"/>
      <c r="U36" s="19"/>
      <c r="V36" s="46">
        <f ca="1">+SUMIFS(Segments!43:43,Segments!$3:$3,'Segments USD'!V$3)/V$9</f>
        <v>-1.2515460255401565</v>
      </c>
      <c r="W36" s="46">
        <f ca="1">+SUMIFS(Segments!43:43,Segments!$3:$3,'Segments USD'!W$3)/W$9</f>
        <v>-1.0280362120832121</v>
      </c>
      <c r="X36" s="46">
        <f ca="1">+SUMIFS(Segments!43:43,Segments!$3:$3,'Segments USD'!X$3)/X$9</f>
        <v>-4.7831468452781696</v>
      </c>
      <c r="Y36" s="46">
        <f ca="1">+SUMIFS(Segments!43:43,Segments!$3:$3,'Segments USD'!Y$3)/Y$9</f>
        <v>0.2429463008958265</v>
      </c>
      <c r="Z36" s="46">
        <f ca="1">+SUMIFS(Segments!43:43,Segments!$3:$3,'Segments USD'!Z$3)/Z$9</f>
        <v>-19.892371661111426</v>
      </c>
      <c r="AA36" s="46">
        <f ca="1">+SUMIFS(Segments!43:43,Segments!$3:$3,'Segments USD'!AA$3)/AA$9</f>
        <v>-7.1670280079177795</v>
      </c>
      <c r="AB36" s="46">
        <f ca="1">+SUMIFS(Segments!43:43,Segments!$3:$3,'Segments USD'!AB$3)/AB$9</f>
        <v>-5.9347251571609574</v>
      </c>
      <c r="AC36" s="46">
        <f ca="1">+SUMIFS(Segments!43:43,Segments!$3:$3,'Segments USD'!AC$3)/AC$9</f>
        <v>3.7823620656307559</v>
      </c>
      <c r="BB36" s="8" t="s">
        <v>75</v>
      </c>
    </row>
    <row r="37" spans="2:54" x14ac:dyDescent="0.2">
      <c r="B37" s="2" t="s">
        <v>136</v>
      </c>
      <c r="C37" s="45" t="s">
        <v>164</v>
      </c>
      <c r="D37" s="2"/>
      <c r="E37" s="2"/>
      <c r="F37" s="2"/>
      <c r="G37" s="13">
        <f t="shared" ca="1" si="23"/>
        <v>-120.15961625996192</v>
      </c>
      <c r="H37" s="13">
        <f t="shared" ca="1" si="23"/>
        <v>-173.58366259692923</v>
      </c>
      <c r="I37" s="13"/>
      <c r="J37" s="13"/>
      <c r="K37" s="13"/>
      <c r="L37" s="13"/>
      <c r="M37" s="13"/>
      <c r="N37" s="13"/>
      <c r="R37" s="2"/>
      <c r="S37" s="2"/>
      <c r="T37" s="2"/>
      <c r="U37" s="2"/>
      <c r="V37" s="24">
        <f t="shared" ref="V37:AC37" ca="1" si="26">+V38+V39</f>
        <v>-25.107131012198348</v>
      </c>
      <c r="W37" s="24">
        <f t="shared" ca="1" si="26"/>
        <v>-27.845379199722803</v>
      </c>
      <c r="X37" s="24">
        <f t="shared" ca="1" si="26"/>
        <v>-37.542843771672615</v>
      </c>
      <c r="Y37" s="24">
        <f t="shared" ca="1" si="26"/>
        <v>-29.664262276368156</v>
      </c>
      <c r="Z37" s="24">
        <f t="shared" ca="1" si="26"/>
        <v>-41.648793650884372</v>
      </c>
      <c r="AA37" s="24">
        <f t="shared" ca="1" si="26"/>
        <v>-51.184279830452851</v>
      </c>
      <c r="AB37" s="24">
        <f t="shared" ca="1" si="26"/>
        <v>-52.035507804696493</v>
      </c>
      <c r="AC37" s="24">
        <f t="shared" ca="1" si="26"/>
        <v>-28.715081310895538</v>
      </c>
      <c r="BB37" s="8" t="s">
        <v>75</v>
      </c>
    </row>
    <row r="38" spans="2:54" x14ac:dyDescent="0.2">
      <c r="B38" s="19" t="s">
        <v>136</v>
      </c>
      <c r="C38" s="45" t="s">
        <v>164</v>
      </c>
      <c r="D38" s="19"/>
      <c r="E38" s="19"/>
      <c r="F38" s="19"/>
      <c r="G38" s="11">
        <f t="shared" ca="1" si="23"/>
        <v>-110.66641363108805</v>
      </c>
      <c r="H38" s="11">
        <f t="shared" ca="1" si="23"/>
        <v>-105.64756896206232</v>
      </c>
      <c r="I38" s="11"/>
      <c r="J38" s="11"/>
      <c r="K38" s="11"/>
      <c r="L38" s="11"/>
      <c r="M38" s="11"/>
      <c r="N38" s="11"/>
      <c r="R38" s="19"/>
      <c r="S38" s="19"/>
      <c r="T38" s="19"/>
      <c r="U38" s="19"/>
      <c r="V38" s="46">
        <f ca="1">+SUMIFS(Segments!45:45,Segments!$3:$3,'Segments USD'!V$3)/V$9</f>
        <v>-25.014551879258601</v>
      </c>
      <c r="W38" s="46">
        <f ca="1">+SUMIFS(Segments!45:45,Segments!$3:$3,'Segments USD'!W$3)/W$9</f>
        <v>-23.880045306593722</v>
      </c>
      <c r="X38" s="46">
        <f ca="1">+SUMIFS(Segments!45:45,Segments!$3:$3,'Segments USD'!X$3)/X$9</f>
        <v>-32.087961606516735</v>
      </c>
      <c r="Y38" s="46">
        <f ca="1">+SUMIFS(Segments!45:45,Segments!$3:$3,'Segments USD'!Y$3)/Y$9</f>
        <v>-29.683854838718997</v>
      </c>
      <c r="Z38" s="46">
        <f ca="1">+SUMIFS(Segments!45:45,Segments!$3:$3,'Segments USD'!Z$3)/Z$9</f>
        <v>-27.148333862209373</v>
      </c>
      <c r="AA38" s="46">
        <f ca="1">+SUMIFS(Segments!45:45,Segments!$3:$3,'Segments USD'!AA$3)/AA$9</f>
        <v>-29.360147676147346</v>
      </c>
      <c r="AB38" s="46">
        <f ca="1">+SUMIFS(Segments!45:45,Segments!$3:$3,'Segments USD'!AB$3)/AB$9</f>
        <v>-27.549415014792828</v>
      </c>
      <c r="AC38" s="46">
        <f ca="1">+SUMIFS(Segments!45:45,Segments!$3:$3,'Segments USD'!AC$3)/AC$9</f>
        <v>-21.589672408912779</v>
      </c>
      <c r="BB38" s="8" t="s">
        <v>75</v>
      </c>
    </row>
    <row r="39" spans="2:54" x14ac:dyDescent="0.2">
      <c r="B39" s="19" t="s">
        <v>134</v>
      </c>
      <c r="C39" s="45" t="s">
        <v>164</v>
      </c>
      <c r="D39" s="19"/>
      <c r="E39" s="19"/>
      <c r="F39" s="19"/>
      <c r="G39" s="11">
        <f t="shared" ca="1" si="23"/>
        <v>-9.4932026288738722</v>
      </c>
      <c r="H39" s="11">
        <f t="shared" ca="1" si="23"/>
        <v>-67.936093634866936</v>
      </c>
      <c r="I39" s="11"/>
      <c r="J39" s="11"/>
      <c r="K39" s="11"/>
      <c r="L39" s="11"/>
      <c r="M39" s="11"/>
      <c r="N39" s="11"/>
      <c r="R39" s="19"/>
      <c r="S39" s="19"/>
      <c r="T39" s="19"/>
      <c r="U39" s="19"/>
      <c r="V39" s="46">
        <f ca="1">+SUMIFS(Segments!46:46,Segments!$3:$3,'Segments USD'!V$3)/V$9</f>
        <v>-9.2579132939748024E-2</v>
      </c>
      <c r="W39" s="46">
        <f ca="1">+SUMIFS(Segments!46:46,Segments!$3:$3,'Segments USD'!W$3)/W$9</f>
        <v>-3.9653338931290816</v>
      </c>
      <c r="X39" s="46">
        <f ca="1">+SUMIFS(Segments!46:46,Segments!$3:$3,'Segments USD'!X$3)/X$9</f>
        <v>-5.4548821651558823</v>
      </c>
      <c r="Y39" s="46">
        <f ca="1">+SUMIFS(Segments!46:46,Segments!$3:$3,'Segments USD'!Y$3)/Y$9</f>
        <v>1.9592562350839164E-2</v>
      </c>
      <c r="Z39" s="46">
        <f ca="1">+SUMIFS(Segments!46:46,Segments!$3:$3,'Segments USD'!Z$3)/Z$9</f>
        <v>-14.500459788675</v>
      </c>
      <c r="AA39" s="46">
        <f ca="1">+SUMIFS(Segments!46:46,Segments!$3:$3,'Segments USD'!AA$3)/AA$9</f>
        <v>-21.824132154305502</v>
      </c>
      <c r="AB39" s="46">
        <f ca="1">+SUMIFS(Segments!46:46,Segments!$3:$3,'Segments USD'!AB$3)/AB$9</f>
        <v>-24.486092789903669</v>
      </c>
      <c r="AC39" s="46">
        <f ca="1">+SUMIFS(Segments!46:46,Segments!$3:$3,'Segments USD'!AC$3)/AC$9</f>
        <v>-7.1254089019827598</v>
      </c>
      <c r="BB39" s="8" t="s">
        <v>75</v>
      </c>
    </row>
    <row r="40" spans="2:54" x14ac:dyDescent="0.2">
      <c r="B40" s="1" t="s">
        <v>137</v>
      </c>
      <c r="C40" s="45" t="s">
        <v>164</v>
      </c>
      <c r="G40" s="11">
        <f t="shared" ca="1" si="23"/>
        <v>-17.702999571788347</v>
      </c>
      <c r="H40" s="11">
        <f t="shared" ca="1" si="23"/>
        <v>-32.230721288824952</v>
      </c>
      <c r="I40" s="11"/>
      <c r="J40" s="11"/>
      <c r="K40" s="11"/>
      <c r="L40" s="11"/>
      <c r="M40" s="11"/>
      <c r="N40" s="11"/>
      <c r="V40" s="46">
        <f ca="1">+SUMIFS(Segments!47:47,Segments!$3:$3,'Segments USD'!V$3)/V$9</f>
        <v>-4.8046536402490752</v>
      </c>
      <c r="W40" s="46">
        <f ca="1">+SUMIFS(Segments!47:47,Segments!$3:$3,'Segments USD'!W$3)/W$9</f>
        <v>-5.8788727653750481</v>
      </c>
      <c r="X40" s="46">
        <f ca="1">+SUMIFS(Segments!47:47,Segments!$3:$3,'Segments USD'!X$3)/X$9</f>
        <v>-5.5132061006101001</v>
      </c>
      <c r="Y40" s="46">
        <f ca="1">+SUMIFS(Segments!47:47,Segments!$3:$3,'Segments USD'!Y$3)/Y$9</f>
        <v>-1.5062670655541246</v>
      </c>
      <c r="Z40" s="46">
        <f ca="1">+SUMIFS(Segments!47:47,Segments!$3:$3,'Segments USD'!Z$3)/Z$9</f>
        <v>-6.8365828450693034</v>
      </c>
      <c r="AA40" s="46">
        <f ca="1">+SUMIFS(Segments!47:47,Segments!$3:$3,'Segments USD'!AA$3)/AA$9</f>
        <v>-5.4231624694657672</v>
      </c>
      <c r="AB40" s="46">
        <f ca="1">+SUMIFS(Segments!47:47,Segments!$3:$3,'Segments USD'!AB$3)/AB$9</f>
        <v>-10.002944234155771</v>
      </c>
      <c r="AC40" s="46">
        <f ca="1">+SUMIFS(Segments!47:47,Segments!$3:$3,'Segments USD'!AC$3)/AC$9</f>
        <v>-9.9680317401341068</v>
      </c>
      <c r="BB40" s="8" t="s">
        <v>75</v>
      </c>
    </row>
    <row r="41" spans="2:54" x14ac:dyDescent="0.2">
      <c r="B41" s="1" t="s">
        <v>138</v>
      </c>
      <c r="C41" s="45" t="s">
        <v>164</v>
      </c>
      <c r="G41" s="11">
        <f t="shared" ca="1" si="23"/>
        <v>15.67148419449595</v>
      </c>
      <c r="H41" s="11">
        <f t="shared" ca="1" si="23"/>
        <v>6.6835089746054583</v>
      </c>
      <c r="I41" s="11"/>
      <c r="J41" s="11"/>
      <c r="K41" s="11"/>
      <c r="L41" s="11"/>
      <c r="M41" s="11"/>
      <c r="N41" s="11"/>
      <c r="V41" s="46">
        <f ca="1">+SUMIFS(Segments!48:48,Segments!$3:$3,'Segments USD'!V$3)/V$9</f>
        <v>-0.16938473401008561</v>
      </c>
      <c r="W41" s="46">
        <f ca="1">+SUMIFS(Segments!48:48,Segments!$3:$3,'Segments USD'!W$3)/W$9</f>
        <v>5.68665040376486</v>
      </c>
      <c r="X41" s="46">
        <f ca="1">+SUMIFS(Segments!48:48,Segments!$3:$3,'Segments USD'!X$3)/X$9</f>
        <v>3.4489006200163641</v>
      </c>
      <c r="Y41" s="46">
        <f ca="1">+SUMIFS(Segments!48:48,Segments!$3:$3,'Segments USD'!Y$3)/Y$9</f>
        <v>6.7053179047248115</v>
      </c>
      <c r="Z41" s="46">
        <f ca="1">+SUMIFS(Segments!48:48,Segments!$3:$3,'Segments USD'!Z$3)/Z$9</f>
        <v>2.3381653233020065</v>
      </c>
      <c r="AA41" s="46">
        <f ca="1">+SUMIFS(Segments!48:48,Segments!$3:$3,'Segments USD'!AA$3)/AA$9</f>
        <v>1.6904226872964574</v>
      </c>
      <c r="AB41" s="46">
        <f ca="1">+SUMIFS(Segments!48:48,Segments!$3:$3,'Segments USD'!AB$3)/AB$9</f>
        <v>0.98357726324391992</v>
      </c>
      <c r="AC41" s="46">
        <f ca="1">+SUMIFS(Segments!48:48,Segments!$3:$3,'Segments USD'!AC$3)/AC$9</f>
        <v>1.6713437007630756</v>
      </c>
      <c r="BB41" s="8" t="s">
        <v>75</v>
      </c>
    </row>
    <row r="42" spans="2:54" x14ac:dyDescent="0.2">
      <c r="B42" s="1" t="s">
        <v>139</v>
      </c>
      <c r="C42" s="45" t="s">
        <v>164</v>
      </c>
      <c r="G42" s="11">
        <f t="shared" ca="1" si="23"/>
        <v>-1.7116902113132808</v>
      </c>
      <c r="H42" s="11">
        <f t="shared" ca="1" si="23"/>
        <v>-1.0820325187251754</v>
      </c>
      <c r="I42" s="11"/>
      <c r="J42" s="11"/>
      <c r="K42" s="11"/>
      <c r="L42" s="11"/>
      <c r="M42" s="11"/>
      <c r="N42" s="11"/>
      <c r="V42" s="46">
        <f ca="1">+SUMIFS(Segments!49:49,Segments!$3:$3,'Segments USD'!V$3)/V$9</f>
        <v>-1.1873907638607826</v>
      </c>
      <c r="W42" s="46">
        <f ca="1">+SUMIFS(Segments!49:49,Segments!$3:$3,'Segments USD'!W$3)/W$9</f>
        <v>0.28609870340256188</v>
      </c>
      <c r="X42" s="46">
        <f ca="1">+SUMIFS(Segments!49:49,Segments!$3:$3,'Segments USD'!X$3)/X$9</f>
        <v>0.13816809302571956</v>
      </c>
      <c r="Y42" s="46">
        <f ca="1">+SUMIFS(Segments!49:49,Segments!$3:$3,'Segments USD'!Y$3)/Y$9</f>
        <v>-0.9485662438807797</v>
      </c>
      <c r="Z42" s="46">
        <f ca="1">+SUMIFS(Segments!49:49,Segments!$3:$3,'Segments USD'!Z$3)/Z$9</f>
        <v>-0.51318773579229071</v>
      </c>
      <c r="AA42" s="46">
        <f ca="1">+SUMIFS(Segments!49:49,Segments!$3:$3,'Segments USD'!AA$3)/AA$9</f>
        <v>0.33798848658057684</v>
      </c>
      <c r="AB42" s="46">
        <f ca="1">+SUMIFS(Segments!49:49,Segments!$3:$3,'Segments USD'!AB$3)/AB$9</f>
        <v>-0.33800801209809822</v>
      </c>
      <c r="AC42" s="46">
        <f ca="1">+SUMIFS(Segments!49:49,Segments!$3:$3,'Segments USD'!AC$3)/AC$9</f>
        <v>-0.56882525741536327</v>
      </c>
      <c r="BB42" s="8" t="s">
        <v>75</v>
      </c>
    </row>
    <row r="43" spans="2:54" x14ac:dyDescent="0.2">
      <c r="B43" s="1" t="s">
        <v>14</v>
      </c>
      <c r="C43" s="45" t="s">
        <v>164</v>
      </c>
      <c r="G43" s="11">
        <f t="shared" ca="1" si="23"/>
        <v>-0.17973362412493959</v>
      </c>
      <c r="H43" s="11">
        <f t="shared" ca="1" si="23"/>
        <v>0</v>
      </c>
      <c r="I43" s="11"/>
      <c r="J43" s="11"/>
      <c r="K43" s="11"/>
      <c r="L43" s="11"/>
      <c r="M43" s="11"/>
      <c r="N43" s="11"/>
      <c r="V43" s="46">
        <f ca="1">+SUMIFS(Segments!50:50,Segments!$3:$3,'Segments USD'!V$3)/V$9</f>
        <v>-6.847549684108143E-4</v>
      </c>
      <c r="W43" s="46">
        <f ca="1">+SUMIFS(Segments!50:50,Segments!$3:$3,'Segments USD'!W$3)/W$9</f>
        <v>-1.6234200131280473E-2</v>
      </c>
      <c r="X43" s="46">
        <f ca="1">+SUMIFS(Segments!50:50,Segments!$3:$3,'Segments USD'!X$3)/X$9</f>
        <v>-5.8407946496528994E-2</v>
      </c>
      <c r="Y43" s="46">
        <f ca="1">+SUMIFS(Segments!50:50,Segments!$3:$3,'Segments USD'!Y$3)/Y$9</f>
        <v>-0.10440672252871933</v>
      </c>
      <c r="Z43" s="46">
        <f ca="1">+SUMIFS(Segments!50:50,Segments!$3:$3,'Segments USD'!Z$3)/Z$9</f>
        <v>0</v>
      </c>
      <c r="AA43" s="46">
        <f ca="1">+SUMIFS(Segments!50:50,Segments!$3:$3,'Segments USD'!AA$3)/AA$9</f>
        <v>0</v>
      </c>
      <c r="AB43" s="46">
        <f ca="1">+SUMIFS(Segments!50:50,Segments!$3:$3,'Segments USD'!AB$3)/AB$9</f>
        <v>0</v>
      </c>
      <c r="AC43" s="46">
        <f ca="1">+SUMIFS(Segments!50:50,Segments!$3:$3,'Segments USD'!AC$3)/AC$9</f>
        <v>0</v>
      </c>
      <c r="BB43" s="8" t="s">
        <v>75</v>
      </c>
    </row>
    <row r="44" spans="2:54" s="2" customFormat="1" x14ac:dyDescent="0.2">
      <c r="B44" s="18" t="s">
        <v>140</v>
      </c>
      <c r="C44" s="45" t="s">
        <v>164</v>
      </c>
      <c r="D44" s="18"/>
      <c r="E44" s="18"/>
      <c r="F44" s="18"/>
      <c r="G44" s="13">
        <f t="shared" ca="1" si="23"/>
        <v>113.56085980345399</v>
      </c>
      <c r="H44" s="13">
        <f t="shared" ca="1" si="23"/>
        <v>79.334866669905466</v>
      </c>
      <c r="I44" s="13"/>
      <c r="J44" s="13"/>
      <c r="K44" s="13"/>
      <c r="L44" s="13"/>
      <c r="M44" s="13"/>
      <c r="N44" s="13"/>
      <c r="R44" s="18"/>
      <c r="S44" s="18"/>
      <c r="T44" s="18"/>
      <c r="U44" s="18"/>
      <c r="V44" s="24">
        <f t="shared" ref="V44:AC44" ca="1" si="27">+SUM(V40:V43,V37,V33)</f>
        <v>19.472536206408247</v>
      </c>
      <c r="W44" s="24">
        <f t="shared" ca="1" si="27"/>
        <v>36.919652089514003</v>
      </c>
      <c r="X44" s="24">
        <f t="shared" ca="1" si="27"/>
        <v>28.947134152981889</v>
      </c>
      <c r="Y44" s="24">
        <f t="shared" ca="1" si="27"/>
        <v>28.221537354549856</v>
      </c>
      <c r="Z44" s="24">
        <f t="shared" ca="1" si="27"/>
        <v>1.080259140733709</v>
      </c>
      <c r="AA44" s="24">
        <f t="shared" ca="1" si="27"/>
        <v>24.556059443512368</v>
      </c>
      <c r="AB44" s="24">
        <f t="shared" ca="1" si="27"/>
        <v>24.98707561304478</v>
      </c>
      <c r="AC44" s="24">
        <f t="shared" ca="1" si="27"/>
        <v>28.711472472614616</v>
      </c>
      <c r="BB44" s="83" t="s">
        <v>75</v>
      </c>
    </row>
    <row r="45" spans="2:54" s="25" customFormat="1" x14ac:dyDescent="0.2">
      <c r="B45" s="26" t="s">
        <v>141</v>
      </c>
      <c r="C45" s="45" t="s">
        <v>177</v>
      </c>
      <c r="D45" s="26"/>
      <c r="E45" s="26"/>
      <c r="F45" s="26"/>
      <c r="G45" s="30">
        <f ca="1">+G44/G34</f>
        <v>0.48696207502472916</v>
      </c>
      <c r="H45" s="30">
        <f ca="1">+H44/H34</f>
        <v>0.3294950971395943</v>
      </c>
      <c r="I45" s="30"/>
      <c r="J45" s="30"/>
      <c r="K45" s="30"/>
      <c r="L45" s="30"/>
      <c r="M45" s="30"/>
      <c r="N45" s="30"/>
      <c r="R45" s="26"/>
      <c r="S45" s="26"/>
      <c r="T45" s="26"/>
      <c r="U45" s="26"/>
      <c r="V45" s="30">
        <f t="shared" ref="V45:AC45" ca="1" si="28">+V44/V34</f>
        <v>0.37464547391002551</v>
      </c>
      <c r="W45" s="30">
        <f t="shared" ca="1" si="28"/>
        <v>0.61132791039091583</v>
      </c>
      <c r="X45" s="30">
        <f t="shared" ca="1" si="28"/>
        <v>0.4300450928536293</v>
      </c>
      <c r="Y45" s="30">
        <f t="shared" ca="1" si="28"/>
        <v>0.52728492383519432</v>
      </c>
      <c r="Z45" s="30">
        <f t="shared" ca="1" si="28"/>
        <v>2.0310633348501205E-2</v>
      </c>
      <c r="AA45" s="30">
        <f t="shared" ca="1" si="28"/>
        <v>0.37891893466556642</v>
      </c>
      <c r="AB45" s="30">
        <f t="shared" ca="1" si="28"/>
        <v>0.36856085116476112</v>
      </c>
      <c r="AC45" s="30">
        <f t="shared" ca="1" si="28"/>
        <v>0.52213794132853486</v>
      </c>
      <c r="BB45" s="88" t="s">
        <v>75</v>
      </c>
    </row>
    <row r="46" spans="2:54" x14ac:dyDescent="0.2">
      <c r="B46" s="1" t="s">
        <v>135</v>
      </c>
      <c r="C46" s="45" t="s">
        <v>164</v>
      </c>
      <c r="G46" s="11">
        <f t="shared" ref="G46:H49" ca="1" si="29">+SUMIFS(46:46,$6:$6,G$3)</f>
        <v>6.8197827820057118</v>
      </c>
      <c r="H46" s="11">
        <f t="shared" ca="1" si="29"/>
        <v>29.211762760559402</v>
      </c>
      <c r="I46" s="11"/>
      <c r="J46" s="11"/>
      <c r="K46" s="11"/>
      <c r="L46" s="11"/>
      <c r="M46" s="11"/>
      <c r="N46" s="11"/>
      <c r="V46" s="46">
        <f ca="1">+SUMIFS(Segments!53:53,Segments!$3:$3,'Segments USD'!V$3)/V$9</f>
        <v>1.2515460255401565</v>
      </c>
      <c r="W46" s="46">
        <f ca="1">+SUMIFS(Segments!53:53,Segments!$3:$3,'Segments USD'!W$3)/W$9</f>
        <v>1.0280362120832121</v>
      </c>
      <c r="X46" s="46">
        <f ca="1">+SUMIFS(Segments!53:53,Segments!$3:$3,'Segments USD'!X$3)/X$9</f>
        <v>4.7831468452781696</v>
      </c>
      <c r="Y46" s="46">
        <f ca="1">+SUMIFS(Segments!53:53,Segments!$3:$3,'Segments USD'!Y$3)/Y$9</f>
        <v>-0.2429463008958265</v>
      </c>
      <c r="Z46" s="46">
        <f ca="1">+SUMIFS(Segments!53:53,Segments!$3:$3,'Segments USD'!Z$3)/Z$9</f>
        <v>19.892371661111426</v>
      </c>
      <c r="AA46" s="46">
        <f ca="1">+SUMIFS(Segments!53:53,Segments!$3:$3,'Segments USD'!AA$3)/AA$9</f>
        <v>7.1670280079177795</v>
      </c>
      <c r="AB46" s="46">
        <f ca="1">+SUMIFS(Segments!53:53,Segments!$3:$3,'Segments USD'!AB$3)/AB$9</f>
        <v>5.9347251571609574</v>
      </c>
      <c r="AC46" s="46">
        <f ca="1">+SUMIFS(Segments!53:53,Segments!$3:$3,'Segments USD'!AC$3)/AC$9</f>
        <v>-3.7823620656307559</v>
      </c>
      <c r="BB46" s="8" t="s">
        <v>75</v>
      </c>
    </row>
    <row r="47" spans="2:54" x14ac:dyDescent="0.2">
      <c r="B47" s="1" t="s">
        <v>139</v>
      </c>
      <c r="C47" s="45" t="s">
        <v>164</v>
      </c>
      <c r="G47" s="11">
        <f t="shared" ca="1" si="29"/>
        <v>1.7116902113132808</v>
      </c>
      <c r="H47" s="11">
        <f t="shared" ca="1" si="29"/>
        <v>1.0820325187251754</v>
      </c>
      <c r="I47" s="11"/>
      <c r="J47" s="11"/>
      <c r="K47" s="11"/>
      <c r="L47" s="11"/>
      <c r="M47" s="11"/>
      <c r="N47" s="11"/>
      <c r="V47" s="46">
        <f ca="1">+SUMIFS(Segments!54:54,Segments!$3:$3,'Segments USD'!V$3)/V$9</f>
        <v>1.1873907638607826</v>
      </c>
      <c r="W47" s="46">
        <f ca="1">+SUMIFS(Segments!54:54,Segments!$3:$3,'Segments USD'!W$3)/W$9</f>
        <v>-0.28609870340256188</v>
      </c>
      <c r="X47" s="46">
        <f ca="1">+SUMIFS(Segments!54:54,Segments!$3:$3,'Segments USD'!X$3)/X$9</f>
        <v>-0.13816809302571956</v>
      </c>
      <c r="Y47" s="46">
        <f ca="1">+SUMIFS(Segments!54:54,Segments!$3:$3,'Segments USD'!Y$3)/Y$9</f>
        <v>0.9485662438807797</v>
      </c>
      <c r="Z47" s="46">
        <f ca="1">+SUMIFS(Segments!54:54,Segments!$3:$3,'Segments USD'!Z$3)/Z$9</f>
        <v>0.51318773579229071</v>
      </c>
      <c r="AA47" s="46">
        <f ca="1">+SUMIFS(Segments!54:54,Segments!$3:$3,'Segments USD'!AA$3)/AA$9</f>
        <v>-0.33798848658057684</v>
      </c>
      <c r="AB47" s="46">
        <f ca="1">+SUMIFS(Segments!54:54,Segments!$3:$3,'Segments USD'!AB$3)/AB$9</f>
        <v>0.33800801209809822</v>
      </c>
      <c r="AC47" s="46">
        <f ca="1">+SUMIFS(Segments!54:54,Segments!$3:$3,'Segments USD'!AC$3)/AC$9</f>
        <v>0.56882525741536327</v>
      </c>
      <c r="BB47" s="8" t="s">
        <v>75</v>
      </c>
    </row>
    <row r="48" spans="2:54" x14ac:dyDescent="0.2">
      <c r="B48" s="1" t="s">
        <v>142</v>
      </c>
      <c r="C48" s="45" t="s">
        <v>164</v>
      </c>
      <c r="G48" s="11">
        <f t="shared" ca="1" si="29"/>
        <v>-9.4148598486720445</v>
      </c>
      <c r="H48" s="11">
        <f t="shared" ca="1" si="29"/>
        <v>9.5045861731744488</v>
      </c>
      <c r="I48" s="11"/>
      <c r="J48" s="11"/>
      <c r="K48" s="11"/>
      <c r="L48" s="11"/>
      <c r="M48" s="11"/>
      <c r="N48" s="11"/>
      <c r="V48" s="46">
        <f ca="1">+SUMIFS(Segments!55:55,Segments!$3:$3,'Segments USD'!V$3)/V$9</f>
        <v>-0.43290578789769935</v>
      </c>
      <c r="W48" s="46">
        <f ca="1">+SUMIFS(Segments!55:55,Segments!$3:$3,'Segments USD'!W$3)/W$9</f>
        <v>-5.0089403745585948</v>
      </c>
      <c r="X48" s="46">
        <f ca="1">+SUMIFS(Segments!55:55,Segments!$3:$3,'Segments USD'!X$3)/X$9</f>
        <v>-0.23792583722378396</v>
      </c>
      <c r="Y48" s="46">
        <f ca="1">+SUMIFS(Segments!55:55,Segments!$3:$3,'Segments USD'!Y$3)/Y$9</f>
        <v>-3.7350878489919661</v>
      </c>
      <c r="Z48" s="46">
        <f ca="1">+SUMIFS(Segments!55:55,Segments!$3:$3,'Segments USD'!Z$3)/Z$9</f>
        <v>1.5830496359792043</v>
      </c>
      <c r="AA48" s="46">
        <f ca="1">+SUMIFS(Segments!55:55,Segments!$3:$3,'Segments USD'!AA$3)/AA$9</f>
        <v>1.5086238876858269</v>
      </c>
      <c r="AB48" s="46">
        <f ca="1">+SUMIFS(Segments!55:55,Segments!$3:$3,'Segments USD'!AB$3)/AB$9</f>
        <v>5.5592823361289776</v>
      </c>
      <c r="AC48" s="46">
        <f ca="1">+SUMIFS(Segments!55:55,Segments!$3:$3,'Segments USD'!AC$3)/AC$9</f>
        <v>0.85363031338043904</v>
      </c>
      <c r="BB48" s="8" t="s">
        <v>75</v>
      </c>
    </row>
    <row r="49" spans="1:54" s="2" customFormat="1" x14ac:dyDescent="0.2">
      <c r="B49" s="18" t="s">
        <v>4</v>
      </c>
      <c r="C49" s="45" t="s">
        <v>164</v>
      </c>
      <c r="D49" s="18"/>
      <c r="E49" s="18"/>
      <c r="F49" s="18"/>
      <c r="G49" s="13">
        <f t="shared" ca="1" si="29"/>
        <v>112.67747294810093</v>
      </c>
      <c r="H49" s="13">
        <f t="shared" ca="1" si="29"/>
        <v>119.13324812236451</v>
      </c>
      <c r="I49" s="13"/>
      <c r="J49" s="13"/>
      <c r="K49" s="13"/>
      <c r="L49" s="13"/>
      <c r="M49" s="13"/>
      <c r="N49" s="13"/>
      <c r="R49" s="18"/>
      <c r="S49" s="18"/>
      <c r="T49" s="18"/>
      <c r="U49" s="18"/>
      <c r="V49" s="24">
        <f t="shared" ref="V49:AC49" ca="1" si="30">+SUM(V46:V48,V44)</f>
        <v>21.478567207911485</v>
      </c>
      <c r="W49" s="24">
        <f t="shared" ca="1" si="30"/>
        <v>32.652649223636061</v>
      </c>
      <c r="X49" s="24">
        <f t="shared" ca="1" si="30"/>
        <v>33.354187068010553</v>
      </c>
      <c r="Y49" s="24">
        <f t="shared" ca="1" si="30"/>
        <v>25.192069448542842</v>
      </c>
      <c r="Z49" s="24">
        <f t="shared" ca="1" si="30"/>
        <v>23.068868173616629</v>
      </c>
      <c r="AA49" s="24">
        <f t="shared" ca="1" si="30"/>
        <v>32.893722852535397</v>
      </c>
      <c r="AB49" s="24">
        <f t="shared" ca="1" si="30"/>
        <v>36.819091118432809</v>
      </c>
      <c r="AC49" s="24">
        <f t="shared" ca="1" si="30"/>
        <v>26.351565977779664</v>
      </c>
      <c r="AD49" s="68"/>
      <c r="AE49" s="68"/>
      <c r="AF49" s="68"/>
      <c r="AG49" s="68"/>
      <c r="BB49" s="83" t="s">
        <v>75</v>
      </c>
    </row>
    <row r="50" spans="1:54" s="25" customFormat="1" x14ac:dyDescent="0.2">
      <c r="B50" s="26" t="s">
        <v>141</v>
      </c>
      <c r="C50" s="45" t="s">
        <v>177</v>
      </c>
      <c r="D50" s="26"/>
      <c r="E50" s="26"/>
      <c r="F50" s="26"/>
      <c r="G50" s="30">
        <f ca="1">+G49/G34</f>
        <v>0.48317401022073919</v>
      </c>
      <c r="H50" s="30">
        <f ca="1">+H49/H34</f>
        <v>0.49478650195455931</v>
      </c>
      <c r="I50" s="30"/>
      <c r="J50" s="30"/>
      <c r="K50" s="30"/>
      <c r="L50" s="30"/>
      <c r="M50" s="30"/>
      <c r="N50" s="30"/>
      <c r="R50" s="26"/>
      <c r="S50" s="26"/>
      <c r="T50" s="26"/>
      <c r="U50" s="26"/>
      <c r="V50" s="30">
        <f t="shared" ref="V50:AC50" ca="1" si="31">+V49/V34</f>
        <v>0.41324087962759481</v>
      </c>
      <c r="W50" s="30">
        <f t="shared" ca="1" si="31"/>
        <v>0.54067345407847145</v>
      </c>
      <c r="X50" s="30">
        <f t="shared" ca="1" si="31"/>
        <v>0.49551725566043103</v>
      </c>
      <c r="Y50" s="30">
        <f t="shared" ca="1" si="31"/>
        <v>0.47068301962239834</v>
      </c>
      <c r="Z50" s="30">
        <f t="shared" ca="1" si="31"/>
        <v>0.43373233844705322</v>
      </c>
      <c r="AA50" s="30">
        <f t="shared" ca="1" si="31"/>
        <v>0.50757551101140019</v>
      </c>
      <c r="AB50" s="30">
        <f t="shared" ca="1" si="31"/>
        <v>0.54308378346756525</v>
      </c>
      <c r="AC50" s="30">
        <f t="shared" ca="1" si="31"/>
        <v>0.47922141309696314</v>
      </c>
      <c r="BB50" s="88" t="s">
        <v>75</v>
      </c>
    </row>
    <row r="51" spans="1:54" x14ac:dyDescent="0.2">
      <c r="B51" s="22" t="s">
        <v>143</v>
      </c>
      <c r="C51" s="45" t="s">
        <v>164</v>
      </c>
      <c r="D51" s="22"/>
      <c r="E51" s="22"/>
      <c r="F51" s="22"/>
      <c r="G51" s="11">
        <f ca="1">+SUMIFS(51:51,$6:$6,G$3)</f>
        <v>4.0147315869054436</v>
      </c>
      <c r="H51" s="11">
        <f ca="1">+SUMIFS(51:51,$6:$6,H$3)</f>
        <v>3.1661122836524389</v>
      </c>
      <c r="I51" s="11"/>
      <c r="J51" s="11"/>
      <c r="K51" s="11"/>
      <c r="L51" s="11"/>
      <c r="M51" s="11"/>
      <c r="N51" s="11"/>
      <c r="R51" s="22"/>
      <c r="S51" s="22"/>
      <c r="T51" s="22"/>
      <c r="U51" s="22"/>
      <c r="V51" s="46">
        <f ca="1">+SUMIFS(Segments!58:58,Segments!$3:$3,'Segments USD'!V$3)/V$9</f>
        <v>0.27079000281950055</v>
      </c>
      <c r="W51" s="46">
        <f ca="1">+SUMIFS(Segments!58:58,Segments!$3:$3,'Segments USD'!W$3)/W$9</f>
        <v>1.7150953560874269</v>
      </c>
      <c r="X51" s="46">
        <f ca="1">+SUMIFS(Segments!58:58,Segments!$3:$3,'Segments USD'!X$3)/X$9</f>
        <v>1.3694497101995899</v>
      </c>
      <c r="Y51" s="46">
        <f ca="1">+SUMIFS(Segments!58:58,Segments!$3:$3,'Segments USD'!Y$3)/Y$9</f>
        <v>0.65939651779892627</v>
      </c>
      <c r="Z51" s="46">
        <f ca="1">+SUMIFS(Segments!58:58,Segments!$3:$3,'Segments USD'!Z$3)/Z$9</f>
        <v>0.2611122913675008</v>
      </c>
      <c r="AA51" s="46">
        <f ca="1">+SUMIFS(Segments!58:58,Segments!$3:$3,'Segments USD'!AA$3)/AA$9</f>
        <v>1.8776457008967007</v>
      </c>
      <c r="AB51" s="46">
        <f ca="1">+SUMIFS(Segments!58:58,Segments!$3:$3,'Segments USD'!AB$3)/AB$9</f>
        <v>0.72667331044865457</v>
      </c>
      <c r="AC51" s="46">
        <f ca="1">+SUMIFS(Segments!58:58,Segments!$3:$3,'Segments USD'!AC$3)/AC$9</f>
        <v>0.30068098093958268</v>
      </c>
      <c r="BB51" s="8" t="s">
        <v>75</v>
      </c>
    </row>
    <row r="52" spans="1:54" s="2" customFormat="1" x14ac:dyDescent="0.2">
      <c r="B52" s="18" t="s">
        <v>144</v>
      </c>
      <c r="C52" s="45" t="s">
        <v>164</v>
      </c>
      <c r="D52" s="18"/>
      <c r="E52" s="18"/>
      <c r="F52" s="18"/>
      <c r="G52" s="13">
        <f ca="1">+SUMIFS(52:52,$6:$6,G$3)</f>
        <v>116.6922045350064</v>
      </c>
      <c r="H52" s="13">
        <f ca="1">+SUMIFS(52:52,$6:$6,H$3)</f>
        <v>122.29936040601697</v>
      </c>
      <c r="I52" s="13">
        <f t="shared" ref="I52:N52" ca="1" si="32">+SUMIFS(52:52,$6:$6,I$3)</f>
        <v>139.6325798035287</v>
      </c>
      <c r="J52" s="13">
        <f t="shared" ca="1" si="32"/>
        <v>161.00821358563493</v>
      </c>
      <c r="K52" s="13">
        <f t="shared" ca="1" si="32"/>
        <v>168.48095692131739</v>
      </c>
      <c r="L52" s="13">
        <f t="shared" ca="1" si="32"/>
        <v>185.54350468568893</v>
      </c>
      <c r="M52" s="13">
        <f t="shared" ca="1" si="32"/>
        <v>200.64377487264483</v>
      </c>
      <c r="N52" s="13">
        <f t="shared" ca="1" si="32"/>
        <v>216.20584540848529</v>
      </c>
      <c r="P52" s="131">
        <f ca="1">+IFERROR((N52/I52)^(1/5)-1,"NM")</f>
        <v>9.1380359397061017E-2</v>
      </c>
      <c r="R52" s="18"/>
      <c r="S52" s="18"/>
      <c r="T52" s="18"/>
      <c r="U52" s="18"/>
      <c r="V52" s="148">
        <f ca="1">+SUMIFS(Segments!59:59,Segments!$3:$3,'Segments USD'!V$3)/V$9</f>
        <v>21.749357210730992</v>
      </c>
      <c r="W52" s="148">
        <f ca="1">+SUMIFS(Segments!59:59,Segments!$3:$3,'Segments USD'!W$3)/W$9</f>
        <v>34.367744579723492</v>
      </c>
      <c r="X52" s="148">
        <f ca="1">+SUMIFS(Segments!59:59,Segments!$3:$3,'Segments USD'!X$3)/X$9</f>
        <v>34.723636778210142</v>
      </c>
      <c r="Y52" s="148">
        <f ca="1">+SUMIFS(Segments!59:59,Segments!$3:$3,'Segments USD'!Y$3)/Y$9</f>
        <v>25.85146596634177</v>
      </c>
      <c r="Z52" s="148">
        <f ca="1">+SUMIFS(Segments!59:59,Segments!$3:$3,'Segments USD'!Z$3)/Z$9</f>
        <v>23.329980464984143</v>
      </c>
      <c r="AA52" s="148">
        <f ca="1">+SUMIFS(Segments!59:59,Segments!$3:$3,'Segments USD'!AA$3)/AA$9</f>
        <v>34.771368553432112</v>
      </c>
      <c r="AB52" s="148">
        <f ca="1">+SUMIFS(Segments!59:59,Segments!$3:$3,'Segments USD'!AB$3)/AB$9</f>
        <v>37.545764428881469</v>
      </c>
      <c r="AC52" s="148">
        <f ca="1">+SUMIFS(Segments!59:59,Segments!$3:$3,'Segments USD'!AC$3)/AC$9</f>
        <v>26.652246958719246</v>
      </c>
      <c r="AD52" s="148">
        <f ca="1">+SUMIFS(Segments!59:59,Segments!$3:$3,'Segments USD'!AD$3)/AD$9</f>
        <v>29.983552422341766</v>
      </c>
      <c r="AE52" s="148">
        <f ca="1">+SUMIFS(Segments!59:59,Segments!$3:$3,'Segments USD'!AE$3)/AE$9</f>
        <v>43.67863185277762</v>
      </c>
      <c r="AF52" s="148">
        <f ca="1">+SUMIFS(Segments!59:59,Segments!$3:$3,'Segments USD'!AF$3)/AF$9</f>
        <v>42.945704535400615</v>
      </c>
      <c r="AG52" s="148">
        <f ca="1">+SUMIFS(Segments!59:59,Segments!$3:$3,'Segments USD'!AG$3)/AG$9</f>
        <v>23.024690993008711</v>
      </c>
      <c r="AH52" s="148">
        <f ca="1">+SUMIFS(Segments!59:59,Segments!$3:$3,'Segments USD'!AH$3)/AH$9</f>
        <v>32.471661623647826</v>
      </c>
      <c r="AI52" s="148">
        <f ca="1">+SUMIFS(Segments!59:59,Segments!$3:$3,'Segments USD'!AI$3)/AI$9</f>
        <v>51.725563911950204</v>
      </c>
      <c r="AJ52" s="148">
        <f ca="1">+SUMIFS(Segments!59:59,Segments!$3:$3,'Segments USD'!AJ$3)/AJ$9</f>
        <v>49.242883773913412</v>
      </c>
      <c r="AK52" s="148">
        <f ca="1">+SUMIFS(Segments!59:59,Segments!$3:$3,'Segments USD'!AK$3)/AK$9</f>
        <v>27.568104276123503</v>
      </c>
      <c r="AL52" s="148">
        <f ca="1">+SUMIFS(Segments!59:59,Segments!$3:$3,'Segments USD'!AL$3)/AL$9</f>
        <v>33.209558969871679</v>
      </c>
      <c r="AM52" s="148">
        <f ca="1">+SUMIFS(Segments!59:59,Segments!$3:$3,'Segments USD'!AM$3)/AM$9</f>
        <v>55.165584672919998</v>
      </c>
      <c r="AN52" s="148">
        <f ca="1">+SUMIFS(Segments!59:59,Segments!$3:$3,'Segments USD'!AN$3)/AN$9</f>
        <v>51.882574676743801</v>
      </c>
      <c r="AO52" s="148">
        <f ca="1">+SUMIFS(Segments!59:59,Segments!$3:$3,'Segments USD'!AO$3)/AO$9</f>
        <v>28.223238601781937</v>
      </c>
      <c r="AP52" s="148">
        <f ca="1">+SUMIFS(Segments!59:59,Segments!$3:$3,'Segments USD'!AP$3)/AP$9</f>
        <v>36.405872032937197</v>
      </c>
      <c r="AQ52" s="148">
        <f ca="1">+SUMIFS(Segments!59:59,Segments!$3:$3,'Segments USD'!AQ$3)/AQ$9</f>
        <v>60.775286547849049</v>
      </c>
      <c r="AR52" s="148">
        <f ca="1">+SUMIFS(Segments!59:59,Segments!$3:$3,'Segments USD'!AR$3)/AR$9</f>
        <v>57.128380509789849</v>
      </c>
      <c r="AS52" s="148">
        <f ca="1">+SUMIFS(Segments!59:59,Segments!$3:$3,'Segments USD'!AS$3)/AS$9</f>
        <v>31.233965595112835</v>
      </c>
      <c r="AT52" s="148">
        <f ca="1">+SUMIFS(Segments!59:59,Segments!$3:$3,'Segments USD'!AT$3)/AT$9</f>
        <v>39.163940247812711</v>
      </c>
      <c r="AU52" s="148">
        <f ca="1">+SUMIFS(Segments!59:59,Segments!$3:$3,'Segments USD'!AU$3)/AU$9</f>
        <v>65.908505318670649</v>
      </c>
      <c r="AV52" s="148">
        <f ca="1">+SUMIFS(Segments!59:59,Segments!$3:$3,'Segments USD'!AV$3)/AV$9</f>
        <v>62.011185906449782</v>
      </c>
      <c r="AW52" s="148">
        <f ca="1">+SUMIFS(Segments!59:59,Segments!$3:$3,'Segments USD'!AW$3)/AW$9</f>
        <v>33.560143399711684</v>
      </c>
      <c r="AX52" s="148">
        <f ca="1">+SUMIFS(Segments!59:59,Segments!$3:$3,'Segments USD'!AX$3)/AX$9</f>
        <v>41.998527447913993</v>
      </c>
      <c r="AY52" s="148">
        <f ca="1">+SUMIFS(Segments!59:59,Segments!$3:$3,'Segments USD'!AY$3)/AY$9</f>
        <v>71.2057485719059</v>
      </c>
      <c r="AZ52" s="148">
        <f ca="1">+SUMIFS(Segments!59:59,Segments!$3:$3,'Segments USD'!AZ$3)/AZ$9</f>
        <v>67.047469498693005</v>
      </c>
      <c r="BA52" s="148">
        <f ca="1">+SUMIFS(Segments!59:59,Segments!$3:$3,'Segments USD'!BA$3)/BA$9</f>
        <v>35.954099889972376</v>
      </c>
      <c r="BB52" s="83" t="s">
        <v>75</v>
      </c>
    </row>
    <row r="53" spans="1:54" s="32" customFormat="1" x14ac:dyDescent="0.2">
      <c r="B53" s="26" t="s">
        <v>141</v>
      </c>
      <c r="C53" s="45" t="s">
        <v>177</v>
      </c>
      <c r="D53" s="26"/>
      <c r="E53" s="26"/>
      <c r="F53" s="26"/>
      <c r="G53" s="30">
        <f ca="1">+G52/G34</f>
        <v>0.50038964268081809</v>
      </c>
      <c r="H53" s="30">
        <f ca="1">+H52/H34</f>
        <v>0.50793606050612949</v>
      </c>
      <c r="I53" s="30">
        <f t="shared" ref="I53:N53" ca="1" si="33">+I52/I34</f>
        <v>0.5275305913526025</v>
      </c>
      <c r="J53" s="30">
        <f t="shared" ca="1" si="33"/>
        <v>0.55616146639872943</v>
      </c>
      <c r="K53" s="30">
        <f t="shared" ca="1" si="33"/>
        <v>0.54699945476316736</v>
      </c>
      <c r="L53" s="30">
        <f t="shared" ca="1" si="33"/>
        <v>0.5653511354842975</v>
      </c>
      <c r="M53" s="30">
        <f t="shared" ca="1" si="33"/>
        <v>0.57294559720646887</v>
      </c>
      <c r="N53" s="30">
        <f t="shared" ca="1" si="33"/>
        <v>0.57960277377083347</v>
      </c>
      <c r="R53" s="26"/>
      <c r="S53" s="26"/>
      <c r="T53" s="26"/>
      <c r="U53" s="26"/>
      <c r="V53" s="30">
        <f t="shared" ref="V53:BA53" ca="1" si="34">+V52/V34</f>
        <v>0.41845079413801306</v>
      </c>
      <c r="W53" s="30">
        <f t="shared" ca="1" si="34"/>
        <v>0.56907257489401908</v>
      </c>
      <c r="X53" s="30">
        <f t="shared" ca="1" si="34"/>
        <v>0.51586210654165343</v>
      </c>
      <c r="Y53" s="30">
        <f t="shared" ca="1" si="34"/>
        <v>0.48300303742641587</v>
      </c>
      <c r="Z53" s="30">
        <f t="shared" ca="1" si="34"/>
        <v>0.43864167530223652</v>
      </c>
      <c r="AA53" s="30">
        <f t="shared" ca="1" si="34"/>
        <v>0.53654903220277084</v>
      </c>
      <c r="AB53" s="30">
        <f t="shared" ca="1" si="34"/>
        <v>0.55380225800877381</v>
      </c>
      <c r="AC53" s="30">
        <f t="shared" ca="1" si="34"/>
        <v>0.48468950424185941</v>
      </c>
      <c r="AD53" s="30">
        <f t="shared" ca="1" si="34"/>
        <v>0.49390049588056206</v>
      </c>
      <c r="AE53" s="30">
        <f t="shared" ca="1" si="34"/>
        <v>0.57159086255125802</v>
      </c>
      <c r="AF53" s="30">
        <f t="shared" ca="1" si="34"/>
        <v>0.5786435553680751</v>
      </c>
      <c r="AG53" s="30">
        <f t="shared" ca="1" si="34"/>
        <v>0.43158221699146715</v>
      </c>
      <c r="AH53" s="30">
        <f t="shared" ca="1" si="34"/>
        <v>0.50497770585238333</v>
      </c>
      <c r="AI53" s="30">
        <f t="shared" ca="1" si="34"/>
        <v>0.61332225472791801</v>
      </c>
      <c r="AJ53" s="30">
        <f t="shared" ca="1" si="34"/>
        <v>0.60108276890137302</v>
      </c>
      <c r="AK53" s="30">
        <f t="shared" ca="1" si="34"/>
        <v>0.46776680402678855</v>
      </c>
      <c r="AL53" s="30">
        <f t="shared" ca="1" si="34"/>
        <v>0.48780707055253553</v>
      </c>
      <c r="AM53" s="30">
        <f t="shared" ca="1" si="34"/>
        <v>0.61212503205282975</v>
      </c>
      <c r="AN53" s="30">
        <f t="shared" ca="1" si="34"/>
        <v>0.59278693241379254</v>
      </c>
      <c r="AO53" s="30">
        <f t="shared" ca="1" si="34"/>
        <v>0.45312691233896285</v>
      </c>
      <c r="AP53" s="30">
        <f t="shared" ca="1" si="34"/>
        <v>0.50431055233843292</v>
      </c>
      <c r="AQ53" s="30">
        <f t="shared" ca="1" si="34"/>
        <v>0.63021672324147471</v>
      </c>
      <c r="AR53" s="30">
        <f t="shared" ca="1" si="34"/>
        <v>0.61010663592676251</v>
      </c>
      <c r="AS53" s="30">
        <f t="shared" ca="1" si="34"/>
        <v>0.47374450808717145</v>
      </c>
      <c r="AT53" s="30">
        <f t="shared" ca="1" si="34"/>
        <v>0.51085526382445767</v>
      </c>
      <c r="AU53" s="30">
        <f t="shared" ca="1" si="34"/>
        <v>0.63786357822790729</v>
      </c>
      <c r="AV53" s="30">
        <f t="shared" ca="1" si="34"/>
        <v>0.61818910913041658</v>
      </c>
      <c r="AW53" s="30">
        <f t="shared" ca="1" si="34"/>
        <v>0.48014783590527865</v>
      </c>
      <c r="AX53" s="30">
        <f t="shared" ca="1" si="34"/>
        <v>0.51655997899943451</v>
      </c>
      <c r="AY53" s="30">
        <f t="shared" ca="1" si="34"/>
        <v>0.64453258941951008</v>
      </c>
      <c r="AZ53" s="30">
        <f t="shared" ca="1" si="34"/>
        <v>0.62523941954631579</v>
      </c>
      <c r="BA53" s="30">
        <f t="shared" ca="1" si="34"/>
        <v>0.48581060179266222</v>
      </c>
      <c r="BB53" s="89" t="s">
        <v>75</v>
      </c>
    </row>
    <row r="54" spans="1:54" s="32" customFormat="1" x14ac:dyDescent="0.2">
      <c r="B54" s="26"/>
      <c r="C54" s="45"/>
      <c r="D54" s="26"/>
      <c r="E54" s="26"/>
      <c r="F54" s="26"/>
      <c r="G54" s="30"/>
      <c r="H54" s="30"/>
      <c r="I54" s="30"/>
      <c r="J54" s="30"/>
      <c r="K54" s="30"/>
      <c r="L54" s="30"/>
      <c r="M54" s="30"/>
      <c r="N54" s="30"/>
      <c r="R54" s="26"/>
      <c r="S54" s="26"/>
      <c r="T54" s="26"/>
      <c r="U54" s="26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30"/>
      <c r="BA54" s="30"/>
      <c r="BB54" s="89" t="s">
        <v>75</v>
      </c>
    </row>
    <row r="55" spans="1:54" s="32" customFormat="1" x14ac:dyDescent="0.2">
      <c r="B55" s="18" t="s">
        <v>319</v>
      </c>
      <c r="C55" s="81" t="s">
        <v>164</v>
      </c>
      <c r="D55" s="26"/>
      <c r="E55" s="26"/>
      <c r="F55" s="26"/>
      <c r="G55" s="13">
        <f t="shared" ref="G55:M55" ca="1" si="35">+G52</f>
        <v>116.6922045350064</v>
      </c>
      <c r="H55" s="13">
        <f t="shared" ca="1" si="35"/>
        <v>122.29936040601697</v>
      </c>
      <c r="I55" s="13">
        <f t="shared" ca="1" si="35"/>
        <v>139.6325798035287</v>
      </c>
      <c r="J55" s="13">
        <f t="shared" ca="1" si="35"/>
        <v>161.00821358563493</v>
      </c>
      <c r="K55" s="13">
        <f t="shared" ca="1" si="35"/>
        <v>168.48095692131739</v>
      </c>
      <c r="L55" s="13">
        <f t="shared" ca="1" si="35"/>
        <v>185.54350468568893</v>
      </c>
      <c r="M55" s="13">
        <f t="shared" ca="1" si="35"/>
        <v>200.64377487264483</v>
      </c>
      <c r="N55" s="13">
        <f ca="1">+N52</f>
        <v>216.20584540848529</v>
      </c>
      <c r="R55" s="26"/>
      <c r="S55" s="26"/>
      <c r="T55" s="26"/>
      <c r="U55" s="26"/>
      <c r="V55" s="148"/>
      <c r="W55" s="148"/>
      <c r="X55" s="148"/>
      <c r="Y55" s="24">
        <f ca="1">+SUM(V52:Y52)</f>
        <v>116.6922045350064</v>
      </c>
      <c r="Z55" s="24">
        <f t="shared" ref="Z55:BA55" ca="1" si="36">+SUM(W52:Z52)</f>
        <v>118.27282778925957</v>
      </c>
      <c r="AA55" s="24">
        <f t="shared" ca="1" si="36"/>
        <v>118.67645176296817</v>
      </c>
      <c r="AB55" s="24">
        <f t="shared" ca="1" si="36"/>
        <v>121.49857941363949</v>
      </c>
      <c r="AC55" s="24">
        <f t="shared" ca="1" si="36"/>
        <v>122.29936040601697</v>
      </c>
      <c r="AD55" s="24">
        <f t="shared" ca="1" si="36"/>
        <v>128.9529323633746</v>
      </c>
      <c r="AE55" s="24">
        <f t="shared" ca="1" si="36"/>
        <v>137.86019566272009</v>
      </c>
      <c r="AF55" s="24">
        <f t="shared" ca="1" si="36"/>
        <v>143.26013576923924</v>
      </c>
      <c r="AG55" s="24">
        <f t="shared" ca="1" si="36"/>
        <v>139.6325798035287</v>
      </c>
      <c r="AH55" s="24">
        <f t="shared" ca="1" si="36"/>
        <v>142.12068900483479</v>
      </c>
      <c r="AI55" s="24">
        <f t="shared" ca="1" si="36"/>
        <v>150.16762106400734</v>
      </c>
      <c r="AJ55" s="24">
        <f t="shared" ca="1" si="36"/>
        <v>156.46480030252016</v>
      </c>
      <c r="AK55" s="24">
        <f t="shared" ca="1" si="36"/>
        <v>161.00821358563493</v>
      </c>
      <c r="AL55" s="24">
        <f t="shared" ca="1" si="36"/>
        <v>161.74611093185882</v>
      </c>
      <c r="AM55" s="24">
        <f t="shared" ca="1" si="36"/>
        <v>165.18613169282858</v>
      </c>
      <c r="AN55" s="24">
        <f t="shared" ca="1" si="36"/>
        <v>167.82582259565896</v>
      </c>
      <c r="AO55" s="24">
        <f t="shared" ca="1" si="36"/>
        <v>168.48095692131739</v>
      </c>
      <c r="AP55" s="24">
        <f t="shared" ca="1" si="36"/>
        <v>171.67726998438292</v>
      </c>
      <c r="AQ55" s="24">
        <f t="shared" ca="1" si="36"/>
        <v>177.28697185931199</v>
      </c>
      <c r="AR55" s="24">
        <f t="shared" ca="1" si="36"/>
        <v>182.53277769235802</v>
      </c>
      <c r="AS55" s="24">
        <f t="shared" ca="1" si="36"/>
        <v>185.54350468568893</v>
      </c>
      <c r="AT55" s="24">
        <f t="shared" ca="1" si="36"/>
        <v>188.30157290056445</v>
      </c>
      <c r="AU55" s="24">
        <f t="shared" ca="1" si="36"/>
        <v>193.43479167138605</v>
      </c>
      <c r="AV55" s="24">
        <f t="shared" ca="1" si="36"/>
        <v>198.31759706804598</v>
      </c>
      <c r="AW55" s="24">
        <f t="shared" ca="1" si="36"/>
        <v>200.64377487264483</v>
      </c>
      <c r="AX55" s="24">
        <f t="shared" ca="1" si="36"/>
        <v>203.47836207274611</v>
      </c>
      <c r="AY55" s="24">
        <f t="shared" ca="1" si="36"/>
        <v>208.77560532598136</v>
      </c>
      <c r="AZ55" s="24">
        <f t="shared" ca="1" si="36"/>
        <v>213.81188891822458</v>
      </c>
      <c r="BA55" s="24">
        <f t="shared" ca="1" si="36"/>
        <v>216.20584540848529</v>
      </c>
      <c r="BB55" s="24" t="s">
        <v>75</v>
      </c>
    </row>
    <row r="56" spans="1:54" s="2" customFormat="1" x14ac:dyDescent="0.2">
      <c r="B56" s="18" t="s">
        <v>423</v>
      </c>
      <c r="C56" s="81" t="s">
        <v>164</v>
      </c>
      <c r="G56" s="13">
        <f ca="1">+H55</f>
        <v>122.29936040601697</v>
      </c>
      <c r="H56" s="13">
        <f t="shared" ref="H56:M56" ca="1" si="37">+I55</f>
        <v>139.6325798035287</v>
      </c>
      <c r="I56" s="13">
        <f t="shared" ca="1" si="37"/>
        <v>161.00821358563493</v>
      </c>
      <c r="J56" s="13">
        <f t="shared" ca="1" si="37"/>
        <v>168.48095692131739</v>
      </c>
      <c r="K56" s="13">
        <f t="shared" ca="1" si="37"/>
        <v>185.54350468568893</v>
      </c>
      <c r="L56" s="13">
        <f t="shared" ca="1" si="37"/>
        <v>200.64377487264483</v>
      </c>
      <c r="M56" s="13">
        <f t="shared" ca="1" si="37"/>
        <v>216.20584540848529</v>
      </c>
      <c r="N56" s="114">
        <f ca="1">+N55*(N55/M55)</f>
        <v>232.9749209436894</v>
      </c>
      <c r="V56" s="13">
        <f ca="1">+SUM(V52:Y52)</f>
        <v>116.6922045350064</v>
      </c>
      <c r="W56" s="13">
        <f t="shared" ref="W56:AX56" ca="1" si="38">+SUM(W52:Z52)</f>
        <v>118.27282778925957</v>
      </c>
      <c r="X56" s="13">
        <f t="shared" ca="1" si="38"/>
        <v>118.67645176296817</v>
      </c>
      <c r="Y56" s="13">
        <f t="shared" ca="1" si="38"/>
        <v>121.49857941363949</v>
      </c>
      <c r="Z56" s="13">
        <f t="shared" ca="1" si="38"/>
        <v>122.29936040601697</v>
      </c>
      <c r="AA56" s="13">
        <f t="shared" ca="1" si="38"/>
        <v>128.9529323633746</v>
      </c>
      <c r="AB56" s="13">
        <f t="shared" ca="1" si="38"/>
        <v>137.86019566272009</v>
      </c>
      <c r="AC56" s="13">
        <f t="shared" ca="1" si="38"/>
        <v>143.26013576923924</v>
      </c>
      <c r="AD56" s="13">
        <f t="shared" ca="1" si="38"/>
        <v>139.6325798035287</v>
      </c>
      <c r="AE56" s="13">
        <f t="shared" ca="1" si="38"/>
        <v>142.12068900483479</v>
      </c>
      <c r="AF56" s="13">
        <f t="shared" ca="1" si="38"/>
        <v>150.16762106400734</v>
      </c>
      <c r="AG56" s="13">
        <f t="shared" ca="1" si="38"/>
        <v>156.46480030252016</v>
      </c>
      <c r="AH56" s="13">
        <f t="shared" ca="1" si="38"/>
        <v>161.00821358563493</v>
      </c>
      <c r="AI56" s="13">
        <f t="shared" ca="1" si="38"/>
        <v>161.74611093185882</v>
      </c>
      <c r="AJ56" s="13">
        <f t="shared" ca="1" si="38"/>
        <v>165.18613169282858</v>
      </c>
      <c r="AK56" s="13">
        <f t="shared" ca="1" si="38"/>
        <v>167.82582259565896</v>
      </c>
      <c r="AL56" s="13">
        <f t="shared" ca="1" si="38"/>
        <v>168.48095692131739</v>
      </c>
      <c r="AM56" s="13">
        <f t="shared" ca="1" si="38"/>
        <v>171.67726998438292</v>
      </c>
      <c r="AN56" s="13">
        <f t="shared" ca="1" si="38"/>
        <v>177.28697185931199</v>
      </c>
      <c r="AO56" s="13">
        <f t="shared" ca="1" si="38"/>
        <v>182.53277769235802</v>
      </c>
      <c r="AP56" s="13">
        <f t="shared" ca="1" si="38"/>
        <v>185.54350468568893</v>
      </c>
      <c r="AQ56" s="13">
        <f t="shared" ca="1" si="38"/>
        <v>188.30157290056445</v>
      </c>
      <c r="AR56" s="13">
        <f t="shared" ca="1" si="38"/>
        <v>193.43479167138605</v>
      </c>
      <c r="AS56" s="13">
        <f t="shared" ca="1" si="38"/>
        <v>198.31759706804598</v>
      </c>
      <c r="AT56" s="13">
        <f t="shared" ca="1" si="38"/>
        <v>200.64377487264483</v>
      </c>
      <c r="AU56" s="13">
        <f t="shared" ca="1" si="38"/>
        <v>203.47836207274611</v>
      </c>
      <c r="AV56" s="13">
        <f t="shared" ca="1" si="38"/>
        <v>208.77560532598136</v>
      </c>
      <c r="AW56" s="13">
        <f t="shared" ca="1" si="38"/>
        <v>213.81188891822458</v>
      </c>
      <c r="AX56" s="13">
        <f t="shared" ca="1" si="38"/>
        <v>216.20584540848529</v>
      </c>
      <c r="AY56" s="114">
        <f ca="1">+($BA56-$AX56)/3+AX56</f>
        <v>221.79553725355333</v>
      </c>
      <c r="AZ56" s="114">
        <f ca="1">+($BA56-$AX56)/3+AY56</f>
        <v>227.38522909862138</v>
      </c>
      <c r="BA56" s="114">
        <f ca="1">+$N56</f>
        <v>232.9749209436894</v>
      </c>
      <c r="BB56" s="24" t="s">
        <v>75</v>
      </c>
    </row>
    <row r="57" spans="1:54" x14ac:dyDescent="0.2">
      <c r="G57" s="11"/>
      <c r="H57" s="11"/>
      <c r="I57" s="11"/>
      <c r="J57" s="11"/>
      <c r="K57" s="11"/>
      <c r="L57" s="11"/>
      <c r="M57" s="11"/>
      <c r="N57" s="11"/>
      <c r="V57" s="12"/>
      <c r="W57" s="12"/>
      <c r="X57" s="12"/>
      <c r="Y57" s="12"/>
      <c r="Z57" s="12"/>
      <c r="AA57" s="12"/>
      <c r="AB57" s="12"/>
      <c r="AC57" s="12"/>
      <c r="AD57" s="114"/>
      <c r="BB57" s="8" t="s">
        <v>75</v>
      </c>
    </row>
    <row r="58" spans="1:54" s="35" customFormat="1" x14ac:dyDescent="0.2">
      <c r="A58" s="1" t="s">
        <v>75</v>
      </c>
      <c r="B58" s="36" t="s">
        <v>6</v>
      </c>
      <c r="C58" s="36"/>
      <c r="D58" s="36"/>
      <c r="E58" s="36"/>
      <c r="F58" s="36"/>
      <c r="G58" s="37"/>
      <c r="H58" s="37"/>
      <c r="I58" s="37"/>
      <c r="J58" s="37"/>
      <c r="K58" s="37"/>
      <c r="L58" s="37"/>
      <c r="M58" s="37"/>
      <c r="N58" s="37"/>
      <c r="R58" s="36"/>
      <c r="S58" s="36"/>
      <c r="T58" s="36"/>
      <c r="U58" s="36"/>
      <c r="V58" s="44"/>
      <c r="W58" s="44"/>
      <c r="X58" s="44"/>
      <c r="Y58" s="44"/>
      <c r="Z58" s="44"/>
      <c r="AA58" s="44"/>
      <c r="AB58" s="44"/>
      <c r="AC58" s="44"/>
      <c r="BB58" s="90" t="s">
        <v>75</v>
      </c>
    </row>
    <row r="59" spans="1:54" x14ac:dyDescent="0.2">
      <c r="B59" s="1" t="s">
        <v>133</v>
      </c>
      <c r="C59" s="45" t="s">
        <v>164</v>
      </c>
      <c r="G59" s="11">
        <f t="shared" ref="G59:N62" ca="1" si="39">+SUMIFS(59:59,$6:$6,G$3)</f>
        <v>96.5020195256877</v>
      </c>
      <c r="H59" s="11">
        <f t="shared" ca="1" si="39"/>
        <v>97.188181374026797</v>
      </c>
      <c r="I59" s="11">
        <f t="shared" ca="1" si="39"/>
        <v>113.89724942331011</v>
      </c>
      <c r="J59" s="11">
        <f t="shared" ca="1" si="39"/>
        <v>126.8792694544465</v>
      </c>
      <c r="K59" s="11">
        <f t="shared" ca="1" si="39"/>
        <v>142.222119013049</v>
      </c>
      <c r="L59" s="11">
        <f t="shared" ca="1" si="39"/>
        <v>159.12550705346308</v>
      </c>
      <c r="M59" s="11">
        <f t="shared" ca="1" si="39"/>
        <v>177.73526496474844</v>
      </c>
      <c r="N59" s="11">
        <f t="shared" ca="1" si="39"/>
        <v>197.04478822376569</v>
      </c>
      <c r="P59" s="97">
        <f ca="1">+IFERROR((N59/I59)^(1/5)-1,"NM")</f>
        <v>0.11586162756531815</v>
      </c>
      <c r="V59" s="46">
        <f ca="1">+SUMIFS(Segments!80:80,Segments!$3:$3,'Segments USD'!V$3)/V$9</f>
        <v>19.630070590547781</v>
      </c>
      <c r="W59" s="46">
        <f ca="1">+SUMIFS(Segments!80:80,Segments!$3:$3,'Segments USD'!W$3)/W$9</f>
        <v>25.761188423134069</v>
      </c>
      <c r="X59" s="46">
        <f ca="1">+SUMIFS(Segments!80:80,Segments!$3:$3,'Segments USD'!X$3)/X$9</f>
        <v>33.233625947618066</v>
      </c>
      <c r="Y59" s="46">
        <f ca="1">+SUMIFS(Segments!80:80,Segments!$3:$3,'Segments USD'!Y$3)/Y$9</f>
        <v>17.877134564387791</v>
      </c>
      <c r="Z59" s="46">
        <f ca="1">+SUMIFS(Segments!80:80,Segments!$3:$3,'Segments USD'!Z$3)/Z$9</f>
        <v>22.039645025279668</v>
      </c>
      <c r="AA59" s="46">
        <f ca="1">+SUMIFS(Segments!80:80,Segments!$3:$3,'Segments USD'!AA$3)/AA$9</f>
        <v>29.70728993692726</v>
      </c>
      <c r="AB59" s="46">
        <f ca="1">+SUMIFS(Segments!80:80,Segments!$3:$3,'Segments USD'!AB$3)/AB$9</f>
        <v>29.134514634512591</v>
      </c>
      <c r="AC59" s="46">
        <f ca="1">+SUMIFS(Segments!80:80,Segments!$3:$3,'Segments USD'!AC$3)/AC$9</f>
        <v>16.306731777307274</v>
      </c>
      <c r="AD59" s="46">
        <f ca="1">+SUMIFS(Segments!80:80,Segments!$3:$3,'Segments USD'!AD$3)/AD$9</f>
        <v>23.220079502289757</v>
      </c>
      <c r="AE59" s="46">
        <f ca="1">+SUMIFS(Segments!80:80,Segments!$3:$3,'Segments USD'!AE$3)/AE$9</f>
        <v>35.992869325828742</v>
      </c>
      <c r="AF59" s="46">
        <f ca="1">+SUMIFS(Segments!80:80,Segments!$3:$3,'Segments USD'!AF$3)/AF$9</f>
        <v>35.088385827600632</v>
      </c>
      <c r="AG59" s="46">
        <f ca="1">+SUMIFS(Segments!80:80,Segments!$3:$3,'Segments USD'!AG$3)/AG$9</f>
        <v>19.59591476759098</v>
      </c>
      <c r="AH59" s="46">
        <f ca="1">+SUMIFS(Segments!80:80,Segments!$3:$3,'Segments USD'!AH$3)/AH$9</f>
        <v>25.031343755162865</v>
      </c>
      <c r="AI59" s="46">
        <f ca="1">+SUMIFS(Segments!80:80,Segments!$3:$3,'Segments USD'!AI$3)/AI$9</f>
        <v>40.426924263228941</v>
      </c>
      <c r="AJ59" s="46">
        <f ca="1">+SUMIFS(Segments!80:80,Segments!$3:$3,'Segments USD'!AJ$3)/AJ$9</f>
        <v>39.411015096632745</v>
      </c>
      <c r="AK59" s="46">
        <f ca="1">+SUMIFS(Segments!80:80,Segments!$3:$3,'Segments USD'!AK$3)/AK$9</f>
        <v>22.009986339421946</v>
      </c>
      <c r="AL59" s="46">
        <f ca="1">+SUMIFS(Segments!80:80,Segments!$3:$3,'Segments USD'!AL$3)/AL$9</f>
        <v>28.058253849589384</v>
      </c>
      <c r="AM59" s="46">
        <f ca="1">+SUMIFS(Segments!80:80,Segments!$3:$3,'Segments USD'!AM$3)/AM$9</f>
        <v>45.315541763587667</v>
      </c>
      <c r="AN59" s="46">
        <f ca="1">+SUMIFS(Segments!80:80,Segments!$3:$3,'Segments USD'!AN$3)/AN$9</f>
        <v>44.176783990002257</v>
      </c>
      <c r="AO59" s="46">
        <f ca="1">+SUMIFS(Segments!80:80,Segments!$3:$3,'Segments USD'!AO$3)/AO$9</f>
        <v>24.671539409869688</v>
      </c>
      <c r="AP59" s="46">
        <f ca="1">+SUMIFS(Segments!80:80,Segments!$3:$3,'Segments USD'!AP$3)/AP$9</f>
        <v>31.393034373514343</v>
      </c>
      <c r="AQ59" s="46">
        <f ca="1">+SUMIFS(Segments!80:80,Segments!$3:$3,'Segments USD'!AQ$3)/AQ$9</f>
        <v>50.701386047213028</v>
      </c>
      <c r="AR59" s="46">
        <f ca="1">+SUMIFS(Segments!80:80,Segments!$3:$3,'Segments USD'!AR$3)/AR$9</f>
        <v>49.427284596676827</v>
      </c>
      <c r="AS59" s="46">
        <f ca="1">+SUMIFS(Segments!80:80,Segments!$3:$3,'Segments USD'!AS$3)/AS$9</f>
        <v>27.603802036058891</v>
      </c>
      <c r="AT59" s="46">
        <f ca="1">+SUMIFS(Segments!80:80,Segments!$3:$3,'Segments USD'!AT$3)/AT$9</f>
        <v>35.064455634692003</v>
      </c>
      <c r="AU59" s="46">
        <f ca="1">+SUMIFS(Segments!80:80,Segments!$3:$3,'Segments USD'!AU$3)/AU$9</f>
        <v>56.630922660021696</v>
      </c>
      <c r="AV59" s="46">
        <f ca="1">+SUMIFS(Segments!80:80,Segments!$3:$3,'Segments USD'!AV$3)/AV$9</f>
        <v>55.20781480574832</v>
      </c>
      <c r="AW59" s="46">
        <f ca="1">+SUMIFS(Segments!80:80,Segments!$3:$3,'Segments USD'!AW$3)/AW$9</f>
        <v>30.832071864286426</v>
      </c>
      <c r="AX59" s="46">
        <f ca="1">+SUMIFS(Segments!80:80,Segments!$3:$3,'Segments USD'!AX$3)/AX$9</f>
        <v>38.873929920941023</v>
      </c>
      <c r="AY59" s="46">
        <f ca="1">+SUMIFS(Segments!80:80,Segments!$3:$3,'Segments USD'!AY$3)/AY$9</f>
        <v>62.78342210069367</v>
      </c>
      <c r="AZ59" s="46">
        <f ca="1">+SUMIFS(Segments!80:80,Segments!$3:$3,'Segments USD'!AZ$3)/AZ$9</f>
        <v>61.205704894035229</v>
      </c>
      <c r="BA59" s="46">
        <f ca="1">+SUMIFS(Segments!80:80,Segments!$3:$3,'Segments USD'!BA$3)/BA$9</f>
        <v>34.181731308095777</v>
      </c>
      <c r="BB59" s="8" t="s">
        <v>75</v>
      </c>
    </row>
    <row r="60" spans="1:54" s="2" customFormat="1" x14ac:dyDescent="0.2">
      <c r="B60" s="18" t="s">
        <v>307</v>
      </c>
      <c r="C60" s="45" t="s">
        <v>164</v>
      </c>
      <c r="G60" s="13">
        <f t="shared" ca="1" si="39"/>
        <v>46.591884987389768</v>
      </c>
      <c r="H60" s="13">
        <f t="shared" ca="1" si="39"/>
        <v>55.572059007653969</v>
      </c>
      <c r="I60" s="13">
        <f t="shared" ca="1" si="39"/>
        <v>66.157315625986044</v>
      </c>
      <c r="J60" s="13">
        <f t="shared" ca="1" si="39"/>
        <v>76.390427973263328</v>
      </c>
      <c r="K60" s="13">
        <f t="shared" ca="1" si="39"/>
        <v>78.63359359674304</v>
      </c>
      <c r="L60" s="13">
        <f t="shared" ca="1" si="39"/>
        <v>91.584787452913687</v>
      </c>
      <c r="M60" s="13">
        <f t="shared" ca="1" si="39"/>
        <v>105.83988871194794</v>
      </c>
      <c r="N60" s="13">
        <f t="shared" ca="1" si="39"/>
        <v>120.54453869240321</v>
      </c>
      <c r="P60" s="131">
        <f ca="1">+IFERROR((N60/I60)^(1/5)-1,"NM")</f>
        <v>0.12749320400315289</v>
      </c>
      <c r="V60" s="148">
        <f ca="1">+SUMIFS(Segments!81:81,Segments!$3:$3,'Segments USD'!V$3)/V$9</f>
        <v>7.1351488821303342</v>
      </c>
      <c r="W60" s="148">
        <f ca="1">+SUMIFS(Segments!81:81,Segments!$3:$3,'Segments USD'!W$3)/W$9</f>
        <v>14.815314656789182</v>
      </c>
      <c r="X60" s="148">
        <f ca="1">+SUMIFS(Segments!81:81,Segments!$3:$3,'Segments USD'!X$3)/X$9</f>
        <v>17.526931612698153</v>
      </c>
      <c r="Y60" s="148">
        <f ca="1">+SUMIFS(Segments!81:81,Segments!$3:$3,'Segments USD'!Y$3)/Y$9</f>
        <v>7.1144898357720967</v>
      </c>
      <c r="Z60" s="148">
        <f ca="1">+SUMIFS(Segments!81:81,Segments!$3:$3,'Segments USD'!Z$3)/Z$9</f>
        <v>10.9011180294124</v>
      </c>
      <c r="AA60" s="148">
        <f ca="1">+SUMIFS(Segments!81:81,Segments!$3:$3,'Segments USD'!AA$3)/AA$9</f>
        <v>19.803664303740739</v>
      </c>
      <c r="AB60" s="148">
        <f ca="1">+SUMIFS(Segments!81:81,Segments!$3:$3,'Segments USD'!AB$3)/AB$9</f>
        <v>18.44329341584913</v>
      </c>
      <c r="AC60" s="148">
        <f ca="1">+SUMIFS(Segments!81:81,Segments!$3:$3,'Segments USD'!AC$3)/AC$9</f>
        <v>6.4239832586516954</v>
      </c>
      <c r="AD60" s="148">
        <f ca="1">+SUMIFS(Segments!81:81,Segments!$3:$3,'Segments USD'!AD$3)/AD$9</f>
        <v>11.351011892571098</v>
      </c>
      <c r="AE60" s="148">
        <f ca="1">+SUMIFS(Segments!81:81,Segments!$3:$3,'Segments USD'!AE$3)/AE$9</f>
        <v>23.933520903443647</v>
      </c>
      <c r="AF60" s="148">
        <f ca="1">+SUMIFS(Segments!81:81,Segments!$3:$3,'Segments USD'!AF$3)/AF$9</f>
        <v>23.139633985457674</v>
      </c>
      <c r="AG60" s="148">
        <f ca="1">+SUMIFS(Segments!81:81,Segments!$3:$3,'Segments USD'!AG$3)/AG$9</f>
        <v>7.7331488445136207</v>
      </c>
      <c r="AH60" s="148">
        <f ca="1">+SUMIFS(Segments!81:81,Segments!$3:$3,'Segments USD'!AH$3)/AH$9</f>
        <v>12.751649945876059</v>
      </c>
      <c r="AI60" s="148">
        <f ca="1">+SUMIFS(Segments!81:81,Segments!$3:$3,'Segments USD'!AI$3)/AI$9</f>
        <v>27.565658339930994</v>
      </c>
      <c r="AJ60" s="148">
        <f ca="1">+SUMIFS(Segments!81:81,Segments!$3:$3,'Segments USD'!AJ$3)/AJ$9</f>
        <v>26.66664013474713</v>
      </c>
      <c r="AK60" s="148">
        <f ca="1">+SUMIFS(Segments!81:81,Segments!$3:$3,'Segments USD'!AK$3)/AK$9</f>
        <v>9.4064795527091487</v>
      </c>
      <c r="AL60" s="148">
        <f ca="1">+SUMIFS(Segments!81:81,Segments!$3:$3,'Segments USD'!AL$3)/AL$9</f>
        <v>12.57355876078085</v>
      </c>
      <c r="AM60" s="148">
        <f ca="1">+SUMIFS(Segments!81:81,Segments!$3:$3,'Segments USD'!AM$3)/AM$9</f>
        <v>29.121052881656272</v>
      </c>
      <c r="AN60" s="148">
        <f ca="1">+SUMIFS(Segments!81:81,Segments!$3:$3,'Segments USD'!AN$3)/AN$9</f>
        <v>28.134479498308767</v>
      </c>
      <c r="AO60" s="148">
        <f ca="1">+SUMIFS(Segments!81:81,Segments!$3:$3,'Segments USD'!AO$3)/AO$9</f>
        <v>8.8045024559971488</v>
      </c>
      <c r="AP60" s="148">
        <f ca="1">+SUMIFS(Segments!81:81,Segments!$3:$3,'Segments USD'!AP$3)/AP$9</f>
        <v>14.95324995336912</v>
      </c>
      <c r="AQ60" s="148">
        <f ca="1">+SUMIFS(Segments!81:81,Segments!$3:$3,'Segments USD'!AQ$3)/AQ$9</f>
        <v>33.475959279648023</v>
      </c>
      <c r="AR60" s="148">
        <f ca="1">+SUMIFS(Segments!81:81,Segments!$3:$3,'Segments USD'!AR$3)/AR$9</f>
        <v>32.362546243784095</v>
      </c>
      <c r="AS60" s="148">
        <f ca="1">+SUMIFS(Segments!81:81,Segments!$3:$3,'Segments USD'!AS$3)/AS$9</f>
        <v>10.79303197611245</v>
      </c>
      <c r="AT60" s="148">
        <f ca="1">+SUMIFS(Segments!81:81,Segments!$3:$3,'Segments USD'!AT$3)/AT$9</f>
        <v>17.572161053407807</v>
      </c>
      <c r="AU60" s="148">
        <f ca="1">+SUMIFS(Segments!81:81,Segments!$3:$3,'Segments USD'!AU$3)/AU$9</f>
        <v>38.267164976258492</v>
      </c>
      <c r="AV60" s="148">
        <f ca="1">+SUMIFS(Segments!81:81,Segments!$3:$3,'Segments USD'!AV$3)/AV$9</f>
        <v>37.014260442382422</v>
      </c>
      <c r="AW60" s="148">
        <f ca="1">+SUMIFS(Segments!81:81,Segments!$3:$3,'Segments USD'!AW$3)/AW$9</f>
        <v>12.986302239899212</v>
      </c>
      <c r="AX60" s="148">
        <f ca="1">+SUMIFS(Segments!81:81,Segments!$3:$3,'Segments USD'!AX$3)/AX$9</f>
        <v>20.268075394402629</v>
      </c>
      <c r="AY60" s="148">
        <f ca="1">+SUMIFS(Segments!81:81,Segments!$3:$3,'Segments USD'!AY$3)/AY$9</f>
        <v>43.21310599686646</v>
      </c>
      <c r="AZ60" s="148">
        <f ca="1">+SUMIFS(Segments!81:81,Segments!$3:$3,'Segments USD'!AZ$3)/AZ$9</f>
        <v>41.815927059951782</v>
      </c>
      <c r="BA60" s="148">
        <f ca="1">+SUMIFS(Segments!81:81,Segments!$3:$3,'Segments USD'!BA$3)/BA$9</f>
        <v>15.247430241182325</v>
      </c>
      <c r="BB60" s="83" t="s">
        <v>75</v>
      </c>
    </row>
    <row r="61" spans="1:54" x14ac:dyDescent="0.2">
      <c r="B61" s="1" t="s">
        <v>304</v>
      </c>
      <c r="C61" s="45" t="s">
        <v>164</v>
      </c>
      <c r="G61" s="11">
        <f t="shared" ca="1" si="39"/>
        <v>-5.7758826800445746</v>
      </c>
      <c r="H61" s="11">
        <f t="shared" ca="1" si="39"/>
        <v>-5.0275872775016612</v>
      </c>
      <c r="I61" s="11">
        <f t="shared" ca="1" si="39"/>
        <v>-5.2885615138589808</v>
      </c>
      <c r="J61" s="11">
        <f t="shared" ca="1" si="39"/>
        <v>-5.4342936522258221</v>
      </c>
      <c r="K61" s="11">
        <f t="shared" ca="1" si="39"/>
        <v>-5.8385183269571383</v>
      </c>
      <c r="L61" s="11">
        <f t="shared" ca="1" si="39"/>
        <v>-6.2521756345143942</v>
      </c>
      <c r="M61" s="11">
        <f t="shared" ca="1" si="39"/>
        <v>-6.6744826871992071</v>
      </c>
      <c r="N61" s="11">
        <f t="shared" ca="1" si="39"/>
        <v>-7.0848189149356191</v>
      </c>
      <c r="P61" s="97">
        <f ca="1">+IFERROR((N61/I61)^(1/5)-1,"NM")</f>
        <v>6.0225483840999905E-2</v>
      </c>
      <c r="V61" s="46">
        <f ca="1">+SUMIFS(Segments!82:82,Segments!$3:$3,'Segments USD'!V$3)/V$9</f>
        <v>-1.2596124580794088</v>
      </c>
      <c r="W61" s="46">
        <f ca="1">+SUMIFS(Segments!82:82,Segments!$3:$3,'Segments USD'!W$3)/W$9</f>
        <v>-1.4368599988256061</v>
      </c>
      <c r="X61" s="46">
        <f ca="1">+SUMIFS(Segments!82:82,Segments!$3:$3,'Segments USD'!X$3)/X$9</f>
        <v>-1.9627018931570288</v>
      </c>
      <c r="Y61" s="46">
        <f ca="1">+SUMIFS(Segments!82:82,Segments!$3:$3,'Segments USD'!Y$3)/Y$9</f>
        <v>-1.1167083299825309</v>
      </c>
      <c r="Z61" s="46">
        <f ca="1">+SUMIFS(Segments!82:82,Segments!$3:$3,'Segments USD'!Z$3)/Z$9</f>
        <v>-1.5488009124435651</v>
      </c>
      <c r="AA61" s="46">
        <f ca="1">+SUMIFS(Segments!82:82,Segments!$3:$3,'Segments USD'!AA$3)/AA$9</f>
        <v>-1.1978311691898949</v>
      </c>
      <c r="AB61" s="46">
        <f ca="1">+SUMIFS(Segments!82:82,Segments!$3:$3,'Segments USD'!AB$3)/AB$9</f>
        <v>-1.2859271183802545</v>
      </c>
      <c r="AC61" s="46">
        <f ca="1">+SUMIFS(Segments!82:82,Segments!$3:$3,'Segments USD'!AC$3)/AC$9</f>
        <v>-0.99502807748794608</v>
      </c>
      <c r="AD61" s="46">
        <f ca="1">+SUMIFS(Segments!82:82,Segments!$3:$3,'Segments USD'!AD$3)/AD$9</f>
        <v>-1.2418233457757077</v>
      </c>
      <c r="AE61" s="46">
        <f ca="1">+SUMIFS(Segments!82:82,Segments!$3:$3,'Segments USD'!AE$3)/AE$9</f>
        <v>-1.4604388639766153</v>
      </c>
      <c r="AF61" s="46">
        <f ca="1">+SUMIFS(Segments!82:82,Segments!$3:$3,'Segments USD'!AF$3)/AF$9</f>
        <v>-1.4586467451371214</v>
      </c>
      <c r="AG61" s="46">
        <f ca="1">+SUMIFS(Segments!82:82,Segments!$3:$3,'Segments USD'!AG$3)/AG$9</f>
        <v>-1.1276525589695361</v>
      </c>
      <c r="AH61" s="46">
        <f ca="1">+SUMIFS(Segments!82:82,Segments!$3:$3,'Segments USD'!AH$3)/AH$9</f>
        <v>-1.2367158325384162</v>
      </c>
      <c r="AI61" s="46">
        <f ca="1">+SUMIFS(Segments!82:82,Segments!$3:$3,'Segments USD'!AI$3)/AI$9</f>
        <v>-1.5153639188009616</v>
      </c>
      <c r="AJ61" s="46">
        <f ca="1">+SUMIFS(Segments!82:82,Segments!$3:$3,'Segments USD'!AJ$3)/AJ$9</f>
        <v>-1.5132680437156527</v>
      </c>
      <c r="AK61" s="46">
        <f ca="1">+SUMIFS(Segments!82:82,Segments!$3:$3,'Segments USD'!AK$3)/AK$9</f>
        <v>-1.1689458571707922</v>
      </c>
      <c r="AL61" s="46">
        <f ca="1">+SUMIFS(Segments!82:82,Segments!$3:$3,'Segments USD'!AL$3)/AL$9</f>
        <v>-1.3349831314377354</v>
      </c>
      <c r="AM61" s="46">
        <f ca="1">+SUMIFS(Segments!82:82,Segments!$3:$3,'Segments USD'!AM$3)/AM$9</f>
        <v>-1.6206675407865934</v>
      </c>
      <c r="AN61" s="46">
        <f ca="1">+SUMIFS(Segments!82:82,Segments!$3:$3,'Segments USD'!AN$3)/AN$9</f>
        <v>-1.6187908065682974</v>
      </c>
      <c r="AO61" s="46">
        <f ca="1">+SUMIFS(Segments!82:82,Segments!$3:$3,'Segments USD'!AO$3)/AO$9</f>
        <v>-1.2640768481645119</v>
      </c>
      <c r="AP61" s="46">
        <f ca="1">+SUMIFS(Segments!82:82,Segments!$3:$3,'Segments USD'!AP$3)/AP$9</f>
        <v>-1.4361577934408356</v>
      </c>
      <c r="AQ61" s="46">
        <f ca="1">+SUMIFS(Segments!82:82,Segments!$3:$3,'Segments USD'!AQ$3)/AQ$9</f>
        <v>-1.727705335738988</v>
      </c>
      <c r="AR61" s="46">
        <f ca="1">+SUMIFS(Segments!82:82,Segments!$3:$3,'Segments USD'!AR$3)/AR$9</f>
        <v>-1.7260453828627338</v>
      </c>
      <c r="AS61" s="46">
        <f ca="1">+SUMIFS(Segments!82:82,Segments!$3:$3,'Segments USD'!AS$3)/AS$9</f>
        <v>-1.3622671224718377</v>
      </c>
      <c r="AT61" s="46">
        <f ca="1">+SUMIFS(Segments!82:82,Segments!$3:$3,'Segments USD'!AT$3)/AT$9</f>
        <v>-1.5400433010429291</v>
      </c>
      <c r="AU61" s="46">
        <f ca="1">+SUMIFS(Segments!82:82,Segments!$3:$3,'Segments USD'!AU$3)/AU$9</f>
        <v>-1.8362804267806641</v>
      </c>
      <c r="AV61" s="46">
        <f ca="1">+SUMIFS(Segments!82:82,Segments!$3:$3,'Segments USD'!AV$3)/AV$9</f>
        <v>-1.8348289500968018</v>
      </c>
      <c r="AW61" s="46">
        <f ca="1">+SUMIFS(Segments!82:82,Segments!$3:$3,'Segments USD'!AW$3)/AW$9</f>
        <v>-1.4633300092788128</v>
      </c>
      <c r="AX61" s="46">
        <f ca="1">+SUMIFS(Segments!82:82,Segments!$3:$3,'Segments USD'!AX$3)/AX$9</f>
        <v>-1.6413891885449079</v>
      </c>
      <c r="AY61" s="46">
        <f ca="1">+SUMIFS(Segments!82:82,Segments!$3:$3,'Segments USD'!AY$3)/AY$9</f>
        <v>-1.9412699216964626</v>
      </c>
      <c r="AZ61" s="46">
        <f ca="1">+SUMIFS(Segments!82:82,Segments!$3:$3,'Segments USD'!AZ$3)/AZ$9</f>
        <v>-1.9400443964860214</v>
      </c>
      <c r="BA61" s="46">
        <f ca="1">+SUMIFS(Segments!82:82,Segments!$3:$3,'Segments USD'!BA$3)/BA$9</f>
        <v>-1.5621154082082276</v>
      </c>
      <c r="BB61" s="8" t="s">
        <v>75</v>
      </c>
    </row>
    <row r="62" spans="1:54" x14ac:dyDescent="0.2">
      <c r="B62" s="18" t="s">
        <v>306</v>
      </c>
      <c r="C62" s="45" t="s">
        <v>164</v>
      </c>
      <c r="G62" s="13">
        <f t="shared" ca="1" si="39"/>
        <v>40.816002307345194</v>
      </c>
      <c r="H62" s="13">
        <f t="shared" ca="1" si="39"/>
        <v>50.544471730152303</v>
      </c>
      <c r="I62" s="13">
        <f t="shared" ca="1" si="39"/>
        <v>60.868754112127064</v>
      </c>
      <c r="J62" s="13">
        <f t="shared" ca="1" si="39"/>
        <v>70.95613432103751</v>
      </c>
      <c r="K62" s="13">
        <f t="shared" ca="1" si="39"/>
        <v>72.795075269785897</v>
      </c>
      <c r="L62" s="13">
        <f t="shared" ca="1" si="39"/>
        <v>85.332611818399286</v>
      </c>
      <c r="M62" s="13">
        <f t="shared" ca="1" si="39"/>
        <v>99.165406024748719</v>
      </c>
      <c r="N62" s="13">
        <f t="shared" ca="1" si="39"/>
        <v>113.45971977746758</v>
      </c>
      <c r="P62" s="131">
        <f ca="1">+IFERROR((N62/I62)^(1/5)-1,"NM")</f>
        <v>0.1326336464965312</v>
      </c>
      <c r="V62" s="148">
        <f ca="1">+SUMIFS(Segments!83:83,Segments!$3:$3,'Segments USD'!V$3)/V$9</f>
        <v>5.8755364240509254</v>
      </c>
      <c r="W62" s="148">
        <f ca="1">+SUMIFS(Segments!83:83,Segments!$3:$3,'Segments USD'!W$3)/W$9</f>
        <v>13.378454657963577</v>
      </c>
      <c r="X62" s="148">
        <f ca="1">+SUMIFS(Segments!83:83,Segments!$3:$3,'Segments USD'!X$3)/X$9</f>
        <v>15.564229719541125</v>
      </c>
      <c r="Y62" s="148">
        <f ca="1">+SUMIFS(Segments!83:83,Segments!$3:$3,'Segments USD'!Y$3)/Y$9</f>
        <v>5.9977815057895656</v>
      </c>
      <c r="Z62" s="148">
        <f ca="1">+SUMIFS(Segments!83:83,Segments!$3:$3,'Segments USD'!Z$3)/Z$9</f>
        <v>9.3523171169688357</v>
      </c>
      <c r="AA62" s="148">
        <f ca="1">+SUMIFS(Segments!83:83,Segments!$3:$3,'Segments USD'!AA$3)/AA$9</f>
        <v>18.605833134550842</v>
      </c>
      <c r="AB62" s="148">
        <f ca="1">+SUMIFS(Segments!83:83,Segments!$3:$3,'Segments USD'!AB$3)/AB$9</f>
        <v>17.157366297468872</v>
      </c>
      <c r="AC62" s="148">
        <f ca="1">+SUMIFS(Segments!83:83,Segments!$3:$3,'Segments USD'!AC$3)/AC$9</f>
        <v>5.4289551811637491</v>
      </c>
      <c r="AD62" s="148">
        <f ca="1">+SUMIFS(Segments!83:83,Segments!$3:$3,'Segments USD'!AD$3)/AD$9</f>
        <v>10.109188546795389</v>
      </c>
      <c r="AE62" s="148">
        <f ca="1">+SUMIFS(Segments!83:83,Segments!$3:$3,'Segments USD'!AE$3)/AE$9</f>
        <v>22.473082039467034</v>
      </c>
      <c r="AF62" s="148">
        <f ca="1">+SUMIFS(Segments!83:83,Segments!$3:$3,'Segments USD'!AF$3)/AF$9</f>
        <v>21.680987240320555</v>
      </c>
      <c r="AG62" s="148">
        <f ca="1">+SUMIFS(Segments!83:83,Segments!$3:$3,'Segments USD'!AG$3)/AG$9</f>
        <v>6.6054962855440849</v>
      </c>
      <c r="AH62" s="148">
        <f ca="1">+SUMIFS(Segments!83:83,Segments!$3:$3,'Segments USD'!AH$3)/AH$9</f>
        <v>11.514934113337643</v>
      </c>
      <c r="AI62" s="148">
        <f ca="1">+SUMIFS(Segments!83:83,Segments!$3:$3,'Segments USD'!AI$3)/AI$9</f>
        <v>26.050294421130033</v>
      </c>
      <c r="AJ62" s="148">
        <f ca="1">+SUMIFS(Segments!83:83,Segments!$3:$3,'Segments USD'!AJ$3)/AJ$9</f>
        <v>25.153372091031475</v>
      </c>
      <c r="AK62" s="148">
        <f ca="1">+SUMIFS(Segments!83:83,Segments!$3:$3,'Segments USD'!AK$3)/AK$9</f>
        <v>8.2375336955383567</v>
      </c>
      <c r="AL62" s="148">
        <f ca="1">+SUMIFS(Segments!83:83,Segments!$3:$3,'Segments USD'!AL$3)/AL$9</f>
        <v>11.238575629343114</v>
      </c>
      <c r="AM62" s="148">
        <f ca="1">+SUMIFS(Segments!83:83,Segments!$3:$3,'Segments USD'!AM$3)/AM$9</f>
        <v>27.500385340869681</v>
      </c>
      <c r="AN62" s="148">
        <f ca="1">+SUMIFS(Segments!83:83,Segments!$3:$3,'Segments USD'!AN$3)/AN$9</f>
        <v>26.515688691740472</v>
      </c>
      <c r="AO62" s="148">
        <f ca="1">+SUMIFS(Segments!83:83,Segments!$3:$3,'Segments USD'!AO$3)/AO$9</f>
        <v>7.5404256078326375</v>
      </c>
      <c r="AP62" s="148">
        <f ca="1">+SUMIFS(Segments!83:83,Segments!$3:$3,'Segments USD'!AP$3)/AP$9</f>
        <v>13.517092159928286</v>
      </c>
      <c r="AQ62" s="148">
        <f ca="1">+SUMIFS(Segments!83:83,Segments!$3:$3,'Segments USD'!AQ$3)/AQ$9</f>
        <v>31.748253943909035</v>
      </c>
      <c r="AR62" s="148">
        <f ca="1">+SUMIFS(Segments!83:83,Segments!$3:$3,'Segments USD'!AR$3)/AR$9</f>
        <v>30.636500860921359</v>
      </c>
      <c r="AS62" s="148">
        <f ca="1">+SUMIFS(Segments!83:83,Segments!$3:$3,'Segments USD'!AS$3)/AS$9</f>
        <v>9.4307648536406141</v>
      </c>
      <c r="AT62" s="148">
        <f ca="1">+SUMIFS(Segments!83:83,Segments!$3:$3,'Segments USD'!AT$3)/AT$9</f>
        <v>16.032117752364879</v>
      </c>
      <c r="AU62" s="148">
        <f ca="1">+SUMIFS(Segments!83:83,Segments!$3:$3,'Segments USD'!AU$3)/AU$9</f>
        <v>36.430884549477824</v>
      </c>
      <c r="AV62" s="148">
        <f ca="1">+SUMIFS(Segments!83:83,Segments!$3:$3,'Segments USD'!AV$3)/AV$9</f>
        <v>35.179431492285623</v>
      </c>
      <c r="AW62" s="148">
        <f ca="1">+SUMIFS(Segments!83:83,Segments!$3:$3,'Segments USD'!AW$3)/AW$9</f>
        <v>11.5229722306204</v>
      </c>
      <c r="AX62" s="148">
        <f ca="1">+SUMIFS(Segments!83:83,Segments!$3:$3,'Segments USD'!AX$3)/AX$9</f>
        <v>18.626686205857723</v>
      </c>
      <c r="AY62" s="148">
        <f ca="1">+SUMIFS(Segments!83:83,Segments!$3:$3,'Segments USD'!AY$3)/AY$9</f>
        <v>41.271836075169993</v>
      </c>
      <c r="AZ62" s="148">
        <f ca="1">+SUMIFS(Segments!83:83,Segments!$3:$3,'Segments USD'!AZ$3)/AZ$9</f>
        <v>39.875882663465759</v>
      </c>
      <c r="BA62" s="148">
        <f ca="1">+SUMIFS(Segments!83:83,Segments!$3:$3,'Segments USD'!BA$3)/BA$9</f>
        <v>13.685314832974095</v>
      </c>
      <c r="BB62" s="8" t="s">
        <v>75</v>
      </c>
    </row>
    <row r="63" spans="1:54" x14ac:dyDescent="0.2">
      <c r="B63" s="18"/>
      <c r="BB63" s="8" t="s">
        <v>75</v>
      </c>
    </row>
    <row r="64" spans="1:54" s="25" customFormat="1" x14ac:dyDescent="0.2">
      <c r="B64" s="33" t="s">
        <v>305</v>
      </c>
      <c r="C64" s="45" t="s">
        <v>177</v>
      </c>
      <c r="G64" s="70">
        <f t="shared" ref="G64:N64" ca="1" si="40">+G59/G$34</f>
        <v>0.41381179883314434</v>
      </c>
      <c r="H64" s="70">
        <f t="shared" ca="1" si="40"/>
        <v>0.40364382782536323</v>
      </c>
      <c r="I64" s="70">
        <f t="shared" ca="1" si="40"/>
        <v>0.43030275188108524</v>
      </c>
      <c r="J64" s="70">
        <f t="shared" ca="1" si="40"/>
        <v>0.43827180603959126</v>
      </c>
      <c r="K64" s="70">
        <f t="shared" ca="1" si="40"/>
        <v>0.46174608084480129</v>
      </c>
      <c r="L64" s="70">
        <f t="shared" ca="1" si="40"/>
        <v>0.48485548577723264</v>
      </c>
      <c r="M64" s="70">
        <f t="shared" ca="1" si="40"/>
        <v>0.50752951390848922</v>
      </c>
      <c r="N64" s="70">
        <f t="shared" ca="1" si="40"/>
        <v>0.5282359762096368</v>
      </c>
      <c r="V64" s="70">
        <f ca="1">+V59/V$34</f>
        <v>0.37767638592772446</v>
      </c>
      <c r="W64" s="70">
        <f t="shared" ref="W64:BA64" ca="1" si="41">+W59/W$34</f>
        <v>0.42656234814233618</v>
      </c>
      <c r="X64" s="70">
        <f t="shared" ca="1" si="41"/>
        <v>0.49372617271799801</v>
      </c>
      <c r="Y64" s="70">
        <f t="shared" ca="1" si="41"/>
        <v>0.33401240402855048</v>
      </c>
      <c r="Z64" s="70">
        <f t="shared" ca="1" si="41"/>
        <v>0.41438126497641914</v>
      </c>
      <c r="AA64" s="70">
        <f t="shared" ca="1" si="41"/>
        <v>0.45840639376997239</v>
      </c>
      <c r="AB64" s="70">
        <f t="shared" ca="1" si="41"/>
        <v>0.42973582336151178</v>
      </c>
      <c r="AC64" s="70">
        <f t="shared" ca="1" si="41"/>
        <v>0.29654917100197259</v>
      </c>
      <c r="AD64" s="70">
        <f t="shared" ca="1" si="41"/>
        <v>0.38248999381479176</v>
      </c>
      <c r="AE64" s="70">
        <f t="shared" ca="1" si="41"/>
        <v>0.47101281223708641</v>
      </c>
      <c r="AF64" s="70">
        <f t="shared" ca="1" si="41"/>
        <v>0.47277529958026587</v>
      </c>
      <c r="AG64" s="70">
        <f t="shared" ca="1" si="41"/>
        <v>0.3673121320907512</v>
      </c>
      <c r="AH64" s="70">
        <f t="shared" ca="1" si="41"/>
        <v>0.38927082606327473</v>
      </c>
      <c r="AI64" s="70">
        <f t="shared" ca="1" si="41"/>
        <v>0.47935161002875026</v>
      </c>
      <c r="AJ64" s="70">
        <f t="shared" ca="1" si="41"/>
        <v>0.48107016210223053</v>
      </c>
      <c r="AK64" s="70">
        <f t="shared" ca="1" si="41"/>
        <v>0.37345843092959996</v>
      </c>
      <c r="AL64" s="70">
        <f t="shared" ca="1" si="41"/>
        <v>0.4121408124571817</v>
      </c>
      <c r="AM64" s="70">
        <f t="shared" ca="1" si="41"/>
        <v>0.50282758025664542</v>
      </c>
      <c r="AN64" s="70">
        <f t="shared" ca="1" si="41"/>
        <v>0.50474403840792059</v>
      </c>
      <c r="AO64" s="70">
        <f t="shared" ca="1" si="41"/>
        <v>0.39610402736479211</v>
      </c>
      <c r="AP64" s="70">
        <f t="shared" ca="1" si="41"/>
        <v>0.43487046513164185</v>
      </c>
      <c r="AQ64" s="70">
        <f t="shared" ca="1" si="41"/>
        <v>0.52575418716156586</v>
      </c>
      <c r="AR64" s="70">
        <f t="shared" ca="1" si="41"/>
        <v>0.52786222993150478</v>
      </c>
      <c r="AS64" s="70">
        <f t="shared" ca="1" si="41"/>
        <v>0.41868361470419746</v>
      </c>
      <c r="AT64" s="70">
        <f t="shared" ca="1" si="41"/>
        <v>0.45738149994042032</v>
      </c>
      <c r="AU64" s="70">
        <f t="shared" ca="1" si="41"/>
        <v>0.54807498351865069</v>
      </c>
      <c r="AV64" s="70">
        <f t="shared" ca="1" si="41"/>
        <v>0.55036634686021757</v>
      </c>
      <c r="AW64" s="70">
        <f t="shared" ca="1" si="41"/>
        <v>0.44111708361294838</v>
      </c>
      <c r="AX64" s="70">
        <f t="shared" ca="1" si="41"/>
        <v>0.47812905936977479</v>
      </c>
      <c r="AY64" s="70">
        <f t="shared" ca="1" si="41"/>
        <v>0.56829627425817075</v>
      </c>
      <c r="AZ64" s="70">
        <f t="shared" ca="1" si="41"/>
        <v>0.57076306812169353</v>
      </c>
      <c r="BA64" s="70">
        <f t="shared" ca="1" si="41"/>
        <v>0.46186241646762727</v>
      </c>
      <c r="BB64" s="88" t="s">
        <v>75</v>
      </c>
    </row>
    <row r="65" spans="1:54" x14ac:dyDescent="0.2">
      <c r="B65" s="33" t="s">
        <v>308</v>
      </c>
      <c r="C65" s="45" t="s">
        <v>177</v>
      </c>
      <c r="G65" s="70">
        <f t="shared" ref="G65:N65" ca="1" si="42">+G62/G$52</f>
        <v>0.34977488402064455</v>
      </c>
      <c r="H65" s="70">
        <f t="shared" ca="1" si="42"/>
        <v>0.41328484108462743</v>
      </c>
      <c r="I65" s="70">
        <f t="shared" ca="1" si="42"/>
        <v>0.43592085885523996</v>
      </c>
      <c r="J65" s="70">
        <f t="shared" ca="1" si="42"/>
        <v>0.44069884846774166</v>
      </c>
      <c r="K65" s="70">
        <f t="shared" ca="1" si="42"/>
        <v>0.4320670810516708</v>
      </c>
      <c r="L65" s="70">
        <f t="shared" ca="1" si="42"/>
        <v>0.45990621963809997</v>
      </c>
      <c r="M65" s="70">
        <f t="shared" ca="1" si="42"/>
        <v>0.49423614606380012</v>
      </c>
      <c r="N65" s="70">
        <f t="shared" ca="1" si="42"/>
        <v>0.52477637486213269</v>
      </c>
      <c r="V65" s="70">
        <f ca="1">+V62/V$52</f>
        <v>0.27014758951827661</v>
      </c>
      <c r="W65" s="70">
        <f t="shared" ref="W65:BA65" ca="1" si="43">+W62/W$52</f>
        <v>0.38927357094758802</v>
      </c>
      <c r="X65" s="70">
        <f t="shared" ca="1" si="43"/>
        <v>0.44823155532222436</v>
      </c>
      <c r="Y65" s="70">
        <f t="shared" ca="1" si="43"/>
        <v>0.2320093380235608</v>
      </c>
      <c r="Z65" s="70">
        <f t="shared" ca="1" si="43"/>
        <v>0.40087119365597773</v>
      </c>
      <c r="AA65" s="70">
        <f t="shared" ca="1" si="43"/>
        <v>0.53509061933986923</v>
      </c>
      <c r="AB65" s="70">
        <f t="shared" ca="1" si="43"/>
        <v>0.45697208615816187</v>
      </c>
      <c r="AC65" s="70">
        <f t="shared" ca="1" si="43"/>
        <v>0.20369596565619671</v>
      </c>
      <c r="AD65" s="70">
        <f t="shared" ca="1" si="43"/>
        <v>0.33715779919602484</v>
      </c>
      <c r="AE65" s="70">
        <f t="shared" ca="1" si="43"/>
        <v>0.51450975193578374</v>
      </c>
      <c r="AF65" s="70">
        <f t="shared" ca="1" si="43"/>
        <v>0.50484646776370101</v>
      </c>
      <c r="AG65" s="70">
        <f t="shared" ca="1" si="43"/>
        <v>0.28688751078352359</v>
      </c>
      <c r="AH65" s="70">
        <f t="shared" ca="1" si="43"/>
        <v>0.35461487147771253</v>
      </c>
      <c r="AI65" s="70">
        <f t="shared" ca="1" si="43"/>
        <v>0.50362514105161083</v>
      </c>
      <c r="AJ65" s="70">
        <f t="shared" ca="1" si="43"/>
        <v>0.51080217410736939</v>
      </c>
      <c r="AK65" s="70">
        <f t="shared" ca="1" si="43"/>
        <v>0.29880667937957611</v>
      </c>
      <c r="AL65" s="70">
        <f t="shared" ca="1" si="43"/>
        <v>0.33841387774944426</v>
      </c>
      <c r="AM65" s="70">
        <f t="shared" ca="1" si="43"/>
        <v>0.49850618830419519</v>
      </c>
      <c r="AN65" s="70">
        <f t="shared" ca="1" si="43"/>
        <v>0.51107118058321888</v>
      </c>
      <c r="AO65" s="70">
        <f t="shared" ca="1" si="43"/>
        <v>0.26717081318075792</v>
      </c>
      <c r="AP65" s="70">
        <f t="shared" ca="1" si="43"/>
        <v>0.3712887895584282</v>
      </c>
      <c r="AQ65" s="70">
        <f t="shared" ca="1" si="43"/>
        <v>0.52238756486838256</v>
      </c>
      <c r="AR65" s="70">
        <f t="shared" ca="1" si="43"/>
        <v>0.53627462545820481</v>
      </c>
      <c r="AS65" s="70">
        <f t="shared" ca="1" si="43"/>
        <v>0.3019394007117765</v>
      </c>
      <c r="AT65" s="70">
        <f t="shared" ca="1" si="43"/>
        <v>0.40935916179323317</v>
      </c>
      <c r="AU65" s="70">
        <f t="shared" ca="1" si="43"/>
        <v>0.55274936631217508</v>
      </c>
      <c r="AV65" s="70">
        <f t="shared" ca="1" si="43"/>
        <v>0.56730783290223463</v>
      </c>
      <c r="AW65" s="70">
        <f t="shared" ca="1" si="43"/>
        <v>0.3433528901643309</v>
      </c>
      <c r="AX65" s="70">
        <f t="shared" ca="1" si="43"/>
        <v>0.44350807844294748</v>
      </c>
      <c r="AY65" s="70">
        <f t="shared" ca="1" si="43"/>
        <v>0.57961382195838218</v>
      </c>
      <c r="AZ65" s="70">
        <f t="shared" ca="1" si="43"/>
        <v>0.59474105378791486</v>
      </c>
      <c r="BA65" s="70">
        <f t="shared" ca="1" si="43"/>
        <v>0.38063294241419571</v>
      </c>
      <c r="BB65" s="8" t="s">
        <v>75</v>
      </c>
    </row>
    <row r="66" spans="1:54" x14ac:dyDescent="0.2">
      <c r="B66" s="18"/>
      <c r="BB66" s="8" t="s">
        <v>75</v>
      </c>
    </row>
    <row r="67" spans="1:54" s="35" customFormat="1" x14ac:dyDescent="0.2">
      <c r="A67" s="1" t="s">
        <v>75</v>
      </c>
      <c r="B67" s="36" t="s">
        <v>7</v>
      </c>
      <c r="C67" s="36"/>
      <c r="D67" s="36"/>
      <c r="E67" s="36"/>
      <c r="F67" s="36"/>
      <c r="G67" s="37"/>
      <c r="H67" s="37"/>
      <c r="I67" s="37"/>
      <c r="J67" s="37"/>
      <c r="K67" s="37"/>
      <c r="L67" s="37"/>
      <c r="M67" s="37"/>
      <c r="N67" s="37"/>
      <c r="R67" s="36"/>
      <c r="S67" s="36"/>
      <c r="T67" s="36"/>
      <c r="U67" s="36"/>
      <c r="V67" s="44"/>
      <c r="W67" s="44"/>
      <c r="X67" s="44"/>
      <c r="Y67" s="44"/>
      <c r="Z67" s="44"/>
      <c r="AA67" s="44"/>
      <c r="AB67" s="44"/>
      <c r="AC67" s="44"/>
      <c r="AD67" s="44"/>
      <c r="AE67" s="44"/>
      <c r="AF67" s="44"/>
      <c r="AG67" s="44"/>
      <c r="AH67" s="44"/>
      <c r="AI67" s="44"/>
      <c r="AJ67" s="44"/>
      <c r="AK67" s="44"/>
      <c r="AL67" s="44"/>
      <c r="AM67" s="44"/>
      <c r="AN67" s="44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4"/>
      <c r="BA67" s="44"/>
      <c r="BB67" s="90" t="s">
        <v>75</v>
      </c>
    </row>
    <row r="68" spans="1:54" x14ac:dyDescent="0.2">
      <c r="B68" s="1" t="s">
        <v>133</v>
      </c>
      <c r="C68" s="45" t="s">
        <v>164</v>
      </c>
      <c r="G68" s="11">
        <f t="shared" ref="G68:N71" ca="1" si="44">+SUMIFS(68:68,$6:$6,G$3)</f>
        <v>96.116793932074998</v>
      </c>
      <c r="H68" s="11">
        <f t="shared" ca="1" si="44"/>
        <v>93.364920225182701</v>
      </c>
      <c r="I68" s="11">
        <f t="shared" ca="1" si="44"/>
        <v>95.766200666201598</v>
      </c>
      <c r="J68" s="11">
        <f t="shared" ca="1" si="44"/>
        <v>97.363165256938714</v>
      </c>
      <c r="K68" s="11">
        <f t="shared" ca="1" si="44"/>
        <v>99.31176068828286</v>
      </c>
      <c r="L68" s="11">
        <f t="shared" ca="1" si="44"/>
        <v>101.32435893536183</v>
      </c>
      <c r="M68" s="11">
        <f t="shared" ca="1" si="44"/>
        <v>103.40361121885543</v>
      </c>
      <c r="N68" s="11">
        <f t="shared" ca="1" si="44"/>
        <v>105.55228592733047</v>
      </c>
      <c r="P68" s="97">
        <f ca="1">+IFERROR((N68/I68)^(1/5)-1,"NM")</f>
        <v>1.9649890747675203E-2</v>
      </c>
      <c r="V68" s="46">
        <f ca="1">+SUMIFS(Segments!89:89,Segments!$3:$3,'Segments USD'!V$3)/V$9</f>
        <v>24.763703580975051</v>
      </c>
      <c r="W68" s="46">
        <f ca="1">+SUMIFS(Segments!89:89,Segments!$3:$3,'Segments USD'!W$3)/W$9</f>
        <v>26.167095468482646</v>
      </c>
      <c r="X68" s="46">
        <f ca="1">+SUMIFS(Segments!89:89,Segments!$3:$3,'Segments USD'!X$3)/X$9</f>
        <v>26.357656563190755</v>
      </c>
      <c r="Y68" s="46">
        <f ca="1">+SUMIFS(Segments!89:89,Segments!$3:$3,'Segments USD'!Y$3)/Y$9</f>
        <v>18.828338319426553</v>
      </c>
      <c r="Z68" s="46">
        <f ca="1">+SUMIFS(Segments!89:89,Segments!$3:$3,'Segments USD'!Z$3)/Z$9</f>
        <v>20.495660693058539</v>
      </c>
      <c r="AA68" s="46">
        <f ca="1">+SUMIFS(Segments!89:89,Segments!$3:$3,'Segments USD'!AA$3)/AA$9</f>
        <v>24.29222392574215</v>
      </c>
      <c r="AB68" s="46">
        <f ca="1">+SUMIFS(Segments!89:89,Segments!$3:$3,'Segments USD'!AB$3)/AB$9</f>
        <v>24.511128066714146</v>
      </c>
      <c r="AC68" s="46">
        <f ca="1">+SUMIFS(Segments!89:89,Segments!$3:$3,'Segments USD'!AC$3)/AC$9</f>
        <v>24.065907539667862</v>
      </c>
      <c r="AD68" s="46">
        <f ca="1">+SUMIFS(Segments!89:89,Segments!$3:$3,'Segments USD'!AD$3)/AD$9</f>
        <v>23.23927972645437</v>
      </c>
      <c r="AE68" s="46">
        <f ca="1">+SUMIFS(Segments!89:89,Segments!$3:$3,'Segments USD'!AE$3)/AE$9</f>
        <v>26.789185738222336</v>
      </c>
      <c r="AF68" s="46">
        <f ca="1">+SUMIFS(Segments!89:89,Segments!$3:$3,'Segments USD'!AF$3)/AF$9</f>
        <v>25.536553025093337</v>
      </c>
      <c r="AG68" s="46">
        <f ca="1">+SUMIFS(Segments!89:89,Segments!$3:$3,'Segments USD'!AG$3)/AG$9</f>
        <v>20.201182176431551</v>
      </c>
      <c r="AH68" s="46">
        <f ca="1">+SUMIFS(Segments!89:89,Segments!$3:$3,'Segments USD'!AH$3)/AH$9</f>
        <v>22.87845228182243</v>
      </c>
      <c r="AI68" s="46">
        <f ca="1">+SUMIFS(Segments!89:89,Segments!$3:$3,'Segments USD'!AI$3)/AI$9</f>
        <v>27.569470170491883</v>
      </c>
      <c r="AJ68" s="46">
        <f ca="1">+SUMIFS(Segments!89:89,Segments!$3:$3,'Segments USD'!AJ$3)/AJ$9</f>
        <v>26.225001924803149</v>
      </c>
      <c r="AK68" s="46">
        <f ca="1">+SUMIFS(Segments!89:89,Segments!$3:$3,'Segments USD'!AK$3)/AK$9</f>
        <v>20.690240879821239</v>
      </c>
      <c r="AL68" s="46">
        <f ca="1">+SUMIFS(Segments!89:89,Segments!$3:$3,'Segments USD'!AL$3)/AL$9</f>
        <v>23.323268183097753</v>
      </c>
      <c r="AM68" s="46">
        <f ca="1">+SUMIFS(Segments!89:89,Segments!$3:$3,'Segments USD'!AM$3)/AM$9</f>
        <v>28.160993336175746</v>
      </c>
      <c r="AN68" s="46">
        <f ca="1">+SUMIFS(Segments!89:89,Segments!$3:$3,'Segments USD'!AN$3)/AN$9</f>
        <v>26.753920345476118</v>
      </c>
      <c r="AO68" s="46">
        <f ca="1">+SUMIFS(Segments!89:89,Segments!$3:$3,'Segments USD'!AO$3)/AO$9</f>
        <v>21.073578823533239</v>
      </c>
      <c r="AP68" s="46">
        <f ca="1">+SUMIFS(Segments!89:89,Segments!$3:$3,'Segments USD'!AP$3)/AP$9</f>
        <v>23.782407447371117</v>
      </c>
      <c r="AQ68" s="46">
        <f ca="1">+SUMIFS(Segments!89:89,Segments!$3:$3,'Segments USD'!AQ$3)/AQ$9</f>
        <v>28.772818363872691</v>
      </c>
      <c r="AR68" s="46">
        <f ca="1">+SUMIFS(Segments!89:89,Segments!$3:$3,'Segments USD'!AR$3)/AR$9</f>
        <v>27.300300551538385</v>
      </c>
      <c r="AS68" s="46">
        <f ca="1">+SUMIFS(Segments!89:89,Segments!$3:$3,'Segments USD'!AS$3)/AS$9</f>
        <v>21.468832572579622</v>
      </c>
      <c r="AT68" s="46">
        <f ca="1">+SUMIFS(Segments!89:89,Segments!$3:$3,'Segments USD'!AT$3)/AT$9</f>
        <v>24.25645956026726</v>
      </c>
      <c r="AU68" s="46">
        <f ca="1">+SUMIFS(Segments!89:89,Segments!$3:$3,'Segments USD'!AU$3)/AU$9</f>
        <v>29.405797906341505</v>
      </c>
      <c r="AV68" s="46">
        <f ca="1">+SUMIFS(Segments!89:89,Segments!$3:$3,'Segments USD'!AV$3)/AV$9</f>
        <v>27.864867063775257</v>
      </c>
      <c r="AW68" s="46">
        <f ca="1">+SUMIFS(Segments!89:89,Segments!$3:$3,'Segments USD'!AW$3)/AW$9</f>
        <v>21.876486688471417</v>
      </c>
      <c r="AX68" s="46">
        <f ca="1">+SUMIFS(Segments!89:89,Segments!$3:$3,'Segments USD'!AX$3)/AX$9</f>
        <v>24.746040018386161</v>
      </c>
      <c r="AY68" s="46">
        <f ca="1">+SUMIFS(Segments!89:89,Segments!$3:$3,'Segments USD'!AY$3)/AY$9</f>
        <v>30.06082242231534</v>
      </c>
      <c r="AZ68" s="46">
        <f ca="1">+SUMIFS(Segments!89:89,Segments!$3:$3,'Segments USD'!AZ$3)/AZ$9</f>
        <v>28.448376435050381</v>
      </c>
      <c r="BA68" s="46">
        <f ca="1">+SUMIFS(Segments!89:89,Segments!$3:$3,'Segments USD'!BA$3)/BA$9</f>
        <v>22.297047051578588</v>
      </c>
      <c r="BB68" s="8" t="s">
        <v>75</v>
      </c>
    </row>
    <row r="69" spans="1:54" s="2" customFormat="1" x14ac:dyDescent="0.2">
      <c r="B69" s="18" t="s">
        <v>307</v>
      </c>
      <c r="C69" s="45" t="s">
        <v>164</v>
      </c>
      <c r="G69" s="13">
        <f t="shared" ca="1" si="44"/>
        <v>63.440860469453334</v>
      </c>
      <c r="H69" s="13">
        <f t="shared" ca="1" si="44"/>
        <v>51.726864736091002</v>
      </c>
      <c r="I69" s="13">
        <f t="shared" ca="1" si="44"/>
        <v>50.714909251494731</v>
      </c>
      <c r="J69" s="13">
        <f t="shared" ca="1" si="44"/>
        <v>56.49818219165676</v>
      </c>
      <c r="K69" s="13">
        <f t="shared" ca="1" si="44"/>
        <v>61.243963486727175</v>
      </c>
      <c r="L69" s="13">
        <f t="shared" ca="1" si="44"/>
        <v>64.841675633539268</v>
      </c>
      <c r="M69" s="13">
        <f t="shared" ca="1" si="44"/>
        <v>65.141061471100528</v>
      </c>
      <c r="N69" s="13">
        <f t="shared" ca="1" si="44"/>
        <v>65.418095651353326</v>
      </c>
      <c r="P69" s="131">
        <f ca="1">+IFERROR((N69/I69)^(1/5)-1,"NM")</f>
        <v>5.2234286514646344E-2</v>
      </c>
      <c r="V69" s="148">
        <f ca="1">+SUMIFS(Segments!90:90,Segments!$3:$3,'Segments USD'!V$3)/V$9</f>
        <v>14.47495032721149</v>
      </c>
      <c r="W69" s="148">
        <f ca="1">+SUMIFS(Segments!90:90,Segments!$3:$3,'Segments USD'!W$3)/W$9</f>
        <v>19.793639558631735</v>
      </c>
      <c r="X69" s="148">
        <f ca="1">+SUMIFS(Segments!90:90,Segments!$3:$3,'Segments USD'!X$3)/X$9</f>
        <v>16.972189313213001</v>
      </c>
      <c r="Y69" s="148">
        <f ca="1">+SUMIFS(Segments!90:90,Segments!$3:$3,'Segments USD'!Y$3)/Y$9</f>
        <v>12.200081270397105</v>
      </c>
      <c r="Z69" s="148">
        <f ca="1">+SUMIFS(Segments!90:90,Segments!$3:$3,'Segments USD'!Z$3)/Z$9</f>
        <v>10.860008316465207</v>
      </c>
      <c r="AA69" s="148">
        <f ca="1">+SUMIFS(Segments!90:90,Segments!$3:$3,'Segments USD'!AA$3)/AA$9</f>
        <v>12.166558594126155</v>
      </c>
      <c r="AB69" s="148">
        <f ca="1">+SUMIFS(Segments!90:90,Segments!$3:$3,'Segments USD'!AB$3)/AB$9</f>
        <v>14.520587486113442</v>
      </c>
      <c r="AC69" s="148">
        <f ca="1">+SUMIFS(Segments!90:90,Segments!$3:$3,'Segments USD'!AC$3)/AC$9</f>
        <v>14.179710339386194</v>
      </c>
      <c r="AD69" s="148">
        <f ca="1">+SUMIFS(Segments!90:90,Segments!$3:$3,'Segments USD'!AD$3)/AD$9</f>
        <v>12.971780610903645</v>
      </c>
      <c r="AE69" s="148">
        <f ca="1">+SUMIFS(Segments!90:90,Segments!$3:$3,'Segments USD'!AE$3)/AE$9</f>
        <v>13.526987114425303</v>
      </c>
      <c r="AF69" s="148">
        <f ca="1">+SUMIFS(Segments!90:90,Segments!$3:$3,'Segments USD'!AF$3)/AF$9</f>
        <v>14.587296998862117</v>
      </c>
      <c r="AG69" s="148">
        <f ca="1">+SUMIFS(Segments!90:90,Segments!$3:$3,'Segments USD'!AG$3)/AG$9</f>
        <v>9.6288445273036682</v>
      </c>
      <c r="AH69" s="148">
        <f ca="1">+SUMIFS(Segments!90:90,Segments!$3:$3,'Segments USD'!AH$3)/AH$9</f>
        <v>13.011578304271968</v>
      </c>
      <c r="AI69" s="148">
        <f ca="1">+SUMIFS(Segments!90:90,Segments!$3:$3,'Segments USD'!AI$3)/AI$9</f>
        <v>16.488467605157155</v>
      </c>
      <c r="AJ69" s="148">
        <f ca="1">+SUMIFS(Segments!90:90,Segments!$3:$3,'Segments USD'!AJ$3)/AJ$9</f>
        <v>15.929911106864072</v>
      </c>
      <c r="AK69" s="148">
        <f ca="1">+SUMIFS(Segments!90:90,Segments!$3:$3,'Segments USD'!AK$3)/AK$9</f>
        <v>11.068225175363564</v>
      </c>
      <c r="AL69" s="148">
        <f ca="1">+SUMIFS(Segments!90:90,Segments!$3:$3,'Segments USD'!AL$3)/AL$9</f>
        <v>13.814500202004657</v>
      </c>
      <c r="AM69" s="148">
        <f ca="1">+SUMIFS(Segments!90:90,Segments!$3:$3,'Segments USD'!AM$3)/AM$9</f>
        <v>18.239798039330271</v>
      </c>
      <c r="AN69" s="148">
        <f ca="1">+SUMIFS(Segments!90:90,Segments!$3:$3,'Segments USD'!AN$3)/AN$9</f>
        <v>16.988000384489162</v>
      </c>
      <c r="AO69" s="148">
        <f ca="1">+SUMIFS(Segments!90:90,Segments!$3:$3,'Segments USD'!AO$3)/AO$9</f>
        <v>12.201664860903087</v>
      </c>
      <c r="AP69" s="148">
        <f ca="1">+SUMIFS(Segments!90:90,Segments!$3:$3,'Segments USD'!AP$3)/AP$9</f>
        <v>14.510807630239967</v>
      </c>
      <c r="AQ69" s="148">
        <f ca="1">+SUMIFS(Segments!90:90,Segments!$3:$3,'Segments USD'!AQ$3)/AQ$9</f>
        <v>19.353608171180625</v>
      </c>
      <c r="AR69" s="148">
        <f ca="1">+SUMIFS(Segments!90:90,Segments!$3:$3,'Segments USD'!AR$3)/AR$9</f>
        <v>17.884641027271318</v>
      </c>
      <c r="AS69" s="148">
        <f ca="1">+SUMIFS(Segments!90:90,Segments!$3:$3,'Segments USD'!AS$3)/AS$9</f>
        <v>13.092618804847355</v>
      </c>
      <c r="AT69" s="148">
        <f ca="1">+SUMIFS(Segments!90:90,Segments!$3:$3,'Segments USD'!AT$3)/AT$9</f>
        <v>14.521836142260177</v>
      </c>
      <c r="AU69" s="148">
        <f ca="1">+SUMIFS(Segments!90:90,Segments!$3:$3,'Segments USD'!AU$3)/AU$9</f>
        <v>19.546368911239011</v>
      </c>
      <c r="AV69" s="148">
        <f ca="1">+SUMIFS(Segments!90:90,Segments!$3:$3,'Segments USD'!AV$3)/AV$9</f>
        <v>17.986724983241071</v>
      </c>
      <c r="AW69" s="148">
        <f ca="1">+SUMIFS(Segments!90:90,Segments!$3:$3,'Segments USD'!AW$3)/AW$9</f>
        <v>13.086131434360274</v>
      </c>
      <c r="AX69" s="148">
        <f ca="1">+SUMIFS(Segments!90:90,Segments!$3:$3,'Segments USD'!AX$3)/AX$9</f>
        <v>14.523958772483319</v>
      </c>
      <c r="AY69" s="148">
        <f ca="1">+SUMIFS(Segments!90:90,Segments!$3:$3,'Segments USD'!AY$3)/AY$9</f>
        <v>19.739532906103598</v>
      </c>
      <c r="AZ69" s="148">
        <f ca="1">+SUMIFS(Segments!90:90,Segments!$3:$3,'Segments USD'!AZ$3)/AZ$9</f>
        <v>18.083811764042284</v>
      </c>
      <c r="BA69" s="148">
        <f ca="1">+SUMIFS(Segments!90:90,Segments!$3:$3,'Segments USD'!BA$3)/BA$9</f>
        <v>13.070792208724134</v>
      </c>
      <c r="BB69" s="83" t="s">
        <v>75</v>
      </c>
    </row>
    <row r="70" spans="1:54" x14ac:dyDescent="0.2">
      <c r="B70" s="1" t="s">
        <v>304</v>
      </c>
      <c r="C70" s="45" t="s">
        <v>164</v>
      </c>
      <c r="G70" s="11">
        <f t="shared" ca="1" si="44"/>
        <v>-5.7812736078215723</v>
      </c>
      <c r="H70" s="11">
        <f t="shared" ca="1" si="44"/>
        <v>-4.9701403694707906</v>
      </c>
      <c r="I70" s="11">
        <f t="shared" ca="1" si="44"/>
        <v>-4.5538961429022846</v>
      </c>
      <c r="J70" s="11">
        <f t="shared" ca="1" si="44"/>
        <v>-4.2695813941841694</v>
      </c>
      <c r="K70" s="11">
        <f t="shared" ca="1" si="44"/>
        <v>-4.1769361128168416</v>
      </c>
      <c r="L70" s="11">
        <f t="shared" ca="1" si="44"/>
        <v>-4.0813079585417533</v>
      </c>
      <c r="M70" s="11">
        <f t="shared" ca="1" si="44"/>
        <v>-3.9832209133277283</v>
      </c>
      <c r="N70" s="11">
        <f t="shared" ca="1" si="44"/>
        <v>-3.8950587796027354</v>
      </c>
      <c r="P70" s="97">
        <f ca="1">+IFERROR((N70/I70)^(1/5)-1,"NM")</f>
        <v>-3.0771493712016817E-2</v>
      </c>
      <c r="V70" s="46">
        <f ca="1">+SUMIFS(Segments!91:91,Segments!$3:$3,'Segments USD'!V$3)/V$9</f>
        <v>-1.5890248277457364</v>
      </c>
      <c r="W70" s="46">
        <f ca="1">+SUMIFS(Segments!91:91,Segments!$3:$3,'Segments USD'!W$3)/W$9</f>
        <v>-1.4594999324778557</v>
      </c>
      <c r="X70" s="46">
        <f ca="1">+SUMIFS(Segments!91:91,Segments!$3:$3,'Segments USD'!X$3)/X$9</f>
        <v>-1.5566228770010286</v>
      </c>
      <c r="Y70" s="46">
        <f ca="1">+SUMIFS(Segments!91:91,Segments!$3:$3,'Segments USD'!Y$3)/Y$9</f>
        <v>-1.1761259705969522</v>
      </c>
      <c r="Z70" s="46">
        <f ca="1">+SUMIFS(Segments!91:91,Segments!$3:$3,'Segments USD'!Z$3)/Z$9</f>
        <v>-1.4402998753442933</v>
      </c>
      <c r="AA70" s="46">
        <f ca="1">+SUMIFS(Segments!91:91,Segments!$3:$3,'Segments USD'!AA$3)/AA$9</f>
        <v>-0.97948964880248435</v>
      </c>
      <c r="AB70" s="46">
        <f ca="1">+SUMIFS(Segments!91:91,Segments!$3:$3,'Segments USD'!AB$3)/AB$9</f>
        <v>-1.0818620003966444</v>
      </c>
      <c r="AC70" s="46">
        <f ca="1">+SUMIFS(Segments!91:91,Segments!$3:$3,'Segments USD'!AC$3)/AC$9</f>
        <v>-1.4684888449273692</v>
      </c>
      <c r="AD70" s="46">
        <f ca="1">+SUMIFS(Segments!91:91,Segments!$3:$3,'Segments USD'!AD$3)/AD$9</f>
        <v>-1.2428501849219473</v>
      </c>
      <c r="AE70" s="46">
        <f ca="1">+SUMIFS(Segments!91:91,Segments!$3:$3,'Segments USD'!AE$3)/AE$9</f>
        <v>-1.0869921937096674</v>
      </c>
      <c r="AF70" s="46">
        <f ca="1">+SUMIFS(Segments!91:91,Segments!$3:$3,'Segments USD'!AF$3)/AF$9</f>
        <v>-1.061570917940998</v>
      </c>
      <c r="AG70" s="46">
        <f ca="1">+SUMIFS(Segments!91:91,Segments!$3:$3,'Segments USD'!AG$3)/AG$9</f>
        <v>-1.1624828463296721</v>
      </c>
      <c r="AH70" s="46">
        <f ca="1">+SUMIFS(Segments!91:91,Segments!$3:$3,'Segments USD'!AH$3)/AH$9</f>
        <v>-1.1303485916559561</v>
      </c>
      <c r="AI70" s="46">
        <f ca="1">+SUMIFS(Segments!91:91,Segments!$3:$3,'Segments USD'!AI$3)/AI$9</f>
        <v>-1.0334147630128405</v>
      </c>
      <c r="AJ70" s="46">
        <f ca="1">+SUMIFS(Segments!91:91,Segments!$3:$3,'Segments USD'!AJ$3)/AJ$9</f>
        <v>-1.0069635928402361</v>
      </c>
      <c r="AK70" s="46">
        <f ca="1">+SUMIFS(Segments!91:91,Segments!$3:$3,'Segments USD'!AK$3)/AK$9</f>
        <v>-1.098854446675136</v>
      </c>
      <c r="AL70" s="46">
        <f ca="1">+SUMIFS(Segments!91:91,Segments!$3:$3,'Segments USD'!AL$3)/AL$9</f>
        <v>-1.1096973375942849</v>
      </c>
      <c r="AM70" s="46">
        <f ca="1">+SUMIFS(Segments!91:91,Segments!$3:$3,'Segments USD'!AM$3)/AM$9</f>
        <v>-1.0071513224833675</v>
      </c>
      <c r="AN70" s="46">
        <f ca="1">+SUMIFS(Segments!91:91,Segments!$3:$3,'Segments USD'!AN$3)/AN$9</f>
        <v>-0.980356567031195</v>
      </c>
      <c r="AO70" s="46">
        <f ca="1">+SUMIFS(Segments!91:91,Segments!$3:$3,'Segments USD'!AO$3)/AO$9</f>
        <v>-1.079730885707995</v>
      </c>
      <c r="AP70" s="46">
        <f ca="1">+SUMIFS(Segments!91:91,Segments!$3:$3,'Segments USD'!AP$3)/AP$9</f>
        <v>-1.0879894372728593</v>
      </c>
      <c r="AQ70" s="46">
        <f ca="1">+SUMIFS(Segments!91:91,Segments!$3:$3,'Segments USD'!AQ$3)/AQ$9</f>
        <v>-0.98046534201689983</v>
      </c>
      <c r="AR70" s="46">
        <f ca="1">+SUMIFS(Segments!91:91,Segments!$3:$3,'Segments USD'!AR$3)/AR$9</f>
        <v>-0.95335113191542642</v>
      </c>
      <c r="AS70" s="46">
        <f ca="1">+SUMIFS(Segments!91:91,Segments!$3:$3,'Segments USD'!AS$3)/AS$9</f>
        <v>-1.0595020473365673</v>
      </c>
      <c r="AT70" s="46">
        <f ca="1">+SUMIFS(Segments!91:91,Segments!$3:$3,'Segments USD'!AT$3)/AT$9</f>
        <v>-1.0653522884253503</v>
      </c>
      <c r="AU70" s="46">
        <f ca="1">+SUMIFS(Segments!91:91,Segments!$3:$3,'Segments USD'!AU$3)/AU$9</f>
        <v>-0.95349481507568368</v>
      </c>
      <c r="AV70" s="46">
        <f ca="1">+SUMIFS(Segments!91:91,Segments!$3:$3,'Segments USD'!AV$3)/AV$9</f>
        <v>-0.92608745626154099</v>
      </c>
      <c r="AW70" s="46">
        <f ca="1">+SUMIFS(Segments!91:91,Segments!$3:$3,'Segments USD'!AW$3)/AW$9</f>
        <v>-1.0382863535651532</v>
      </c>
      <c r="AX70" s="46">
        <f ca="1">+SUMIFS(Segments!91:91,Segments!$3:$3,'Segments USD'!AX$3)/AX$9</f>
        <v>-1.0448617525442985</v>
      </c>
      <c r="AY70" s="46">
        <f ca="1">+SUMIFS(Segments!91:91,Segments!$3:$3,'Segments USD'!AY$3)/AY$9</f>
        <v>-0.92948374646266074</v>
      </c>
      <c r="AZ70" s="46">
        <f ca="1">+SUMIFS(Segments!91:91,Segments!$3:$3,'Segments USD'!AZ$3)/AZ$9</f>
        <v>-0.90173151975777832</v>
      </c>
      <c r="BA70" s="46">
        <f ca="1">+SUMIFS(Segments!91:91,Segments!$3:$3,'Segments USD'!BA$3)/BA$9</f>
        <v>-1.0189817608379976</v>
      </c>
      <c r="BB70" s="8" t="s">
        <v>75</v>
      </c>
    </row>
    <row r="71" spans="1:54" x14ac:dyDescent="0.2">
      <c r="B71" s="18" t="s">
        <v>306</v>
      </c>
      <c r="C71" s="45" t="s">
        <v>164</v>
      </c>
      <c r="G71" s="13">
        <f t="shared" ca="1" si="44"/>
        <v>57.659586861631752</v>
      </c>
      <c r="H71" s="13">
        <f t="shared" ca="1" si="44"/>
        <v>46.756724366620205</v>
      </c>
      <c r="I71" s="13">
        <f t="shared" ca="1" si="44"/>
        <v>46.161013108592449</v>
      </c>
      <c r="J71" s="13">
        <f t="shared" ca="1" si="44"/>
        <v>52.228600797472595</v>
      </c>
      <c r="K71" s="13">
        <f t="shared" ca="1" si="44"/>
        <v>57.067027373910335</v>
      </c>
      <c r="L71" s="13">
        <f t="shared" ca="1" si="44"/>
        <v>60.760367674997511</v>
      </c>
      <c r="M71" s="13">
        <f t="shared" ca="1" si="44"/>
        <v>61.157840557772808</v>
      </c>
      <c r="N71" s="13">
        <f t="shared" ca="1" si="44"/>
        <v>61.523036871750605</v>
      </c>
      <c r="P71" s="131">
        <f ca="1">+IFERROR((N71/I71)^(1/5)-1,"NM")</f>
        <v>5.9137845263015354E-2</v>
      </c>
      <c r="V71" s="148">
        <f ca="1">+SUMIFS(Segments!92:92,Segments!$3:$3,'Segments USD'!V$3)/V$9</f>
        <v>12.885925499465753</v>
      </c>
      <c r="W71" s="148">
        <f ca="1">+SUMIFS(Segments!92:92,Segments!$3:$3,'Segments USD'!W$3)/W$9</f>
        <v>18.334139626153878</v>
      </c>
      <c r="X71" s="148">
        <f ca="1">+SUMIFS(Segments!92:92,Segments!$3:$3,'Segments USD'!X$3)/X$9</f>
        <v>15.415566436211973</v>
      </c>
      <c r="Y71" s="148">
        <f ca="1">+SUMIFS(Segments!92:92,Segments!$3:$3,'Segments USD'!Y$3)/Y$9</f>
        <v>11.023955299800152</v>
      </c>
      <c r="Z71" s="148">
        <f ca="1">+SUMIFS(Segments!92:92,Segments!$3:$3,'Segments USD'!Z$3)/Z$9</f>
        <v>9.419708441120914</v>
      </c>
      <c r="AA71" s="148">
        <f ca="1">+SUMIFS(Segments!92:92,Segments!$3:$3,'Segments USD'!AA$3)/AA$9</f>
        <v>11.18706894532367</v>
      </c>
      <c r="AB71" s="148">
        <f ca="1">+SUMIFS(Segments!92:92,Segments!$3:$3,'Segments USD'!AB$3)/AB$9</f>
        <v>13.438725485716798</v>
      </c>
      <c r="AC71" s="148">
        <f ca="1">+SUMIFS(Segments!92:92,Segments!$3:$3,'Segments USD'!AC$3)/AC$9</f>
        <v>12.711221494458824</v>
      </c>
      <c r="AD71" s="148">
        <f ca="1">+SUMIFS(Segments!92:92,Segments!$3:$3,'Segments USD'!AD$3)/AD$9</f>
        <v>11.728930425981698</v>
      </c>
      <c r="AE71" s="148">
        <f ca="1">+SUMIFS(Segments!92:92,Segments!$3:$3,'Segments USD'!AE$3)/AE$9</f>
        <v>12.439994920715636</v>
      </c>
      <c r="AF71" s="148">
        <f ca="1">+SUMIFS(Segments!92:92,Segments!$3:$3,'Segments USD'!AF$3)/AF$9</f>
        <v>13.525726080921119</v>
      </c>
      <c r="AG71" s="148">
        <f ca="1">+SUMIFS(Segments!92:92,Segments!$3:$3,'Segments USD'!AG$3)/AG$9</f>
        <v>8.4663616809739946</v>
      </c>
      <c r="AH71" s="148">
        <f ca="1">+SUMIFS(Segments!92:92,Segments!$3:$3,'Segments USD'!AH$3)/AH$9</f>
        <v>11.88122971261601</v>
      </c>
      <c r="AI71" s="148">
        <f ca="1">+SUMIFS(Segments!92:92,Segments!$3:$3,'Segments USD'!AI$3)/AI$9</f>
        <v>15.455052842144314</v>
      </c>
      <c r="AJ71" s="148">
        <f ca="1">+SUMIFS(Segments!92:92,Segments!$3:$3,'Segments USD'!AJ$3)/AJ$9</f>
        <v>14.922947514023836</v>
      </c>
      <c r="AK71" s="148">
        <f ca="1">+SUMIFS(Segments!92:92,Segments!$3:$3,'Segments USD'!AK$3)/AK$9</f>
        <v>9.9693707286884283</v>
      </c>
      <c r="AL71" s="148">
        <f ca="1">+SUMIFS(Segments!92:92,Segments!$3:$3,'Segments USD'!AL$3)/AL$9</f>
        <v>12.704802864410372</v>
      </c>
      <c r="AM71" s="148">
        <f ca="1">+SUMIFS(Segments!92:92,Segments!$3:$3,'Segments USD'!AM$3)/AM$9</f>
        <v>17.232646716846904</v>
      </c>
      <c r="AN71" s="148">
        <f ca="1">+SUMIFS(Segments!92:92,Segments!$3:$3,'Segments USD'!AN$3)/AN$9</f>
        <v>16.007643817457968</v>
      </c>
      <c r="AO71" s="148">
        <f ca="1">+SUMIFS(Segments!92:92,Segments!$3:$3,'Segments USD'!AO$3)/AO$9</f>
        <v>11.121933975195091</v>
      </c>
      <c r="AP71" s="148">
        <f ca="1">+SUMIFS(Segments!92:92,Segments!$3:$3,'Segments USD'!AP$3)/AP$9</f>
        <v>13.422818192967108</v>
      </c>
      <c r="AQ71" s="148">
        <f ca="1">+SUMIFS(Segments!92:92,Segments!$3:$3,'Segments USD'!AQ$3)/AQ$9</f>
        <v>18.373142829163726</v>
      </c>
      <c r="AR71" s="148">
        <f ca="1">+SUMIFS(Segments!92:92,Segments!$3:$3,'Segments USD'!AR$3)/AR$9</f>
        <v>16.931289895355892</v>
      </c>
      <c r="AS71" s="148">
        <f ca="1">+SUMIFS(Segments!92:92,Segments!$3:$3,'Segments USD'!AS$3)/AS$9</f>
        <v>12.033116757510786</v>
      </c>
      <c r="AT71" s="148">
        <f ca="1">+SUMIFS(Segments!92:92,Segments!$3:$3,'Segments USD'!AT$3)/AT$9</f>
        <v>13.456483853834827</v>
      </c>
      <c r="AU71" s="148">
        <f ca="1">+SUMIFS(Segments!92:92,Segments!$3:$3,'Segments USD'!AU$3)/AU$9</f>
        <v>18.592874096163325</v>
      </c>
      <c r="AV71" s="148">
        <f ca="1">+SUMIFS(Segments!92:92,Segments!$3:$3,'Segments USD'!AV$3)/AV$9</f>
        <v>17.06063752697953</v>
      </c>
      <c r="AW71" s="148">
        <f ca="1">+SUMIFS(Segments!92:92,Segments!$3:$3,'Segments USD'!AW$3)/AW$9</f>
        <v>12.047845080795121</v>
      </c>
      <c r="AX71" s="148">
        <f ca="1">+SUMIFS(Segments!92:92,Segments!$3:$3,'Segments USD'!AX$3)/AX$9</f>
        <v>13.479097019939021</v>
      </c>
      <c r="AY71" s="148">
        <f ca="1">+SUMIFS(Segments!92:92,Segments!$3:$3,'Segments USD'!AY$3)/AY$9</f>
        <v>18.810049159640936</v>
      </c>
      <c r="AZ71" s="148">
        <f ca="1">+SUMIFS(Segments!92:92,Segments!$3:$3,'Segments USD'!AZ$3)/AZ$9</f>
        <v>17.182080244284506</v>
      </c>
      <c r="BA71" s="148">
        <f ca="1">+SUMIFS(Segments!92:92,Segments!$3:$3,'Segments USD'!BA$3)/BA$9</f>
        <v>12.051810447886137</v>
      </c>
      <c r="BB71" s="8" t="s">
        <v>75</v>
      </c>
    </row>
    <row r="72" spans="1:54" x14ac:dyDescent="0.2">
      <c r="B72" s="18"/>
      <c r="BB72" s="8" t="s">
        <v>75</v>
      </c>
    </row>
    <row r="73" spans="1:54" s="25" customFormat="1" x14ac:dyDescent="0.2">
      <c r="B73" s="33" t="s">
        <v>305</v>
      </c>
      <c r="C73" s="45" t="s">
        <v>177</v>
      </c>
      <c r="G73" s="70">
        <f t="shared" ref="G73:N73" ca="1" si="45">+G68/G$34</f>
        <v>0.4121599070216263</v>
      </c>
      <c r="H73" s="70">
        <f t="shared" ca="1" si="45"/>
        <v>0.38776498594276526</v>
      </c>
      <c r="I73" s="70">
        <f t="shared" ca="1" si="45"/>
        <v>0.36180381784908217</v>
      </c>
      <c r="J73" s="70">
        <f t="shared" ca="1" si="45"/>
        <v>0.33631601492007396</v>
      </c>
      <c r="K73" s="70">
        <f t="shared" ca="1" si="45"/>
        <v>0.32243097345078942</v>
      </c>
      <c r="L73" s="70">
        <f t="shared" ca="1" si="45"/>
        <v>0.3087353635653497</v>
      </c>
      <c r="M73" s="70">
        <f t="shared" ca="1" si="45"/>
        <v>0.29527277295643567</v>
      </c>
      <c r="N73" s="70">
        <f t="shared" ca="1" si="45"/>
        <v>0.28296366171666804</v>
      </c>
      <c r="V73" s="70">
        <f ca="1">+V68/V$34</f>
        <v>0.47644587050805487</v>
      </c>
      <c r="W73" s="70">
        <f t="shared" ref="W73:BA73" ca="1" si="46">+W68/W$34</f>
        <v>0.43328349235150315</v>
      </c>
      <c r="X73" s="70">
        <f t="shared" ca="1" si="46"/>
        <v>0.3915752351931463</v>
      </c>
      <c r="Y73" s="70">
        <f t="shared" ca="1" si="46"/>
        <v>0.35178448331772161</v>
      </c>
      <c r="Z73" s="70">
        <f t="shared" ca="1" si="46"/>
        <v>0.38535184186385496</v>
      </c>
      <c r="AA73" s="70">
        <f t="shared" ca="1" si="46"/>
        <v>0.37484774915836394</v>
      </c>
      <c r="AB73" s="70">
        <f t="shared" ca="1" si="46"/>
        <v>0.36154059655386062</v>
      </c>
      <c r="AC73" s="70">
        <f t="shared" ca="1" si="46"/>
        <v>0.4376551370171069</v>
      </c>
      <c r="AD73" s="70">
        <f t="shared" ca="1" si="46"/>
        <v>0.38280626722036909</v>
      </c>
      <c r="AE73" s="70">
        <f t="shared" ca="1" si="46"/>
        <v>0.35057081995535566</v>
      </c>
      <c r="AF73" s="70">
        <f t="shared" ca="1" si="46"/>
        <v>0.34407543185383999</v>
      </c>
      <c r="AG73" s="70">
        <f t="shared" ca="1" si="46"/>
        <v>0.37865745916851362</v>
      </c>
      <c r="AH73" s="70">
        <f t="shared" ca="1" si="46"/>
        <v>0.35579048835352006</v>
      </c>
      <c r="AI73" s="70">
        <f t="shared" ca="1" si="46"/>
        <v>0.32689773349602219</v>
      </c>
      <c r="AJ73" s="70">
        <f t="shared" ca="1" si="46"/>
        <v>0.32011522403477161</v>
      </c>
      <c r="AK73" s="70">
        <f t="shared" ca="1" si="46"/>
        <v>0.35106541073557251</v>
      </c>
      <c r="AL73" s="70">
        <f t="shared" ca="1" si="46"/>
        <v>0.34258976875994429</v>
      </c>
      <c r="AM73" s="70">
        <f t="shared" ca="1" si="46"/>
        <v>0.31247831507182444</v>
      </c>
      <c r="AN73" s="70">
        <f t="shared" ca="1" si="46"/>
        <v>0.30567824496856849</v>
      </c>
      <c r="AO73" s="70">
        <f t="shared" ca="1" si="46"/>
        <v>0.33833841108640422</v>
      </c>
      <c r="AP73" s="70">
        <f t="shared" ca="1" si="46"/>
        <v>0.32944462983527512</v>
      </c>
      <c r="AQ73" s="70">
        <f t="shared" ca="1" si="46"/>
        <v>0.2983632383769278</v>
      </c>
      <c r="AR73" s="70">
        <f t="shared" ca="1" si="46"/>
        <v>0.29155551725178586</v>
      </c>
      <c r="AS73" s="70">
        <f t="shared" ca="1" si="46"/>
        <v>0.32563081032188845</v>
      </c>
      <c r="AT73" s="70">
        <f t="shared" ca="1" si="46"/>
        <v>0.31640177085602822</v>
      </c>
      <c r="AU73" s="70">
        <f t="shared" ca="1" si="46"/>
        <v>0.28458978674292923</v>
      </c>
      <c r="AV73" s="70">
        <f t="shared" ca="1" si="46"/>
        <v>0.27778467859298045</v>
      </c>
      <c r="AW73" s="70">
        <f t="shared" ca="1" si="46"/>
        <v>0.31298876216275123</v>
      </c>
      <c r="AX73" s="70">
        <f t="shared" ca="1" si="46"/>
        <v>0.30436338340837771</v>
      </c>
      <c r="AY73" s="70">
        <f t="shared" ca="1" si="46"/>
        <v>0.27210134159841443</v>
      </c>
      <c r="AZ73" s="70">
        <f t="shared" ca="1" si="46"/>
        <v>0.26529034581435951</v>
      </c>
      <c r="BA73" s="70">
        <f t="shared" ca="1" si="46"/>
        <v>0.30127695810701666</v>
      </c>
      <c r="BB73" s="88" t="s">
        <v>75</v>
      </c>
    </row>
    <row r="74" spans="1:54" x14ac:dyDescent="0.2">
      <c r="B74" s="33" t="s">
        <v>308</v>
      </c>
      <c r="C74" s="45" t="s">
        <v>177</v>
      </c>
      <c r="G74" s="70">
        <f t="shared" ref="G74:N74" ca="1" si="47">+G71/G$52</f>
        <v>0.49411687002909011</v>
      </c>
      <c r="H74" s="70">
        <f t="shared" ca="1" si="47"/>
        <v>0.38231372765478366</v>
      </c>
      <c r="I74" s="70">
        <f t="shared" ca="1" si="47"/>
        <v>0.33058913022694075</v>
      </c>
      <c r="J74" s="70">
        <f t="shared" ca="1" si="47"/>
        <v>0.32438469836008665</v>
      </c>
      <c r="K74" s="70">
        <f t="shared" ca="1" si="47"/>
        <v>0.33871500029858753</v>
      </c>
      <c r="L74" s="70">
        <f t="shared" ca="1" si="47"/>
        <v>0.32747235090727478</v>
      </c>
      <c r="M74" s="70">
        <f t="shared" ca="1" si="47"/>
        <v>0.30480806392618803</v>
      </c>
      <c r="N74" s="70">
        <f t="shared" ca="1" si="47"/>
        <v>0.28455769433760209</v>
      </c>
      <c r="V74" s="70">
        <f ca="1">+V71/V$52</f>
        <v>0.59247385449662493</v>
      </c>
      <c r="W74" s="70">
        <f t="shared" ref="W74:BA74" ca="1" si="48">+W71/W$52</f>
        <v>0.53346938678573552</v>
      </c>
      <c r="X74" s="70">
        <f t="shared" ca="1" si="48"/>
        <v>0.4439502271802816</v>
      </c>
      <c r="Y74" s="70">
        <f t="shared" ca="1" si="48"/>
        <v>0.42643443563909217</v>
      </c>
      <c r="Z74" s="70">
        <f t="shared" ca="1" si="48"/>
        <v>0.40375980834012742</v>
      </c>
      <c r="AA74" s="70">
        <f t="shared" ca="1" si="48"/>
        <v>0.32173220125439811</v>
      </c>
      <c r="AB74" s="70">
        <f t="shared" ca="1" si="48"/>
        <v>0.357929201606008</v>
      </c>
      <c r="AC74" s="70">
        <f t="shared" ca="1" si="48"/>
        <v>0.47692870001342852</v>
      </c>
      <c r="AD74" s="70">
        <f t="shared" ca="1" si="48"/>
        <v>0.39117881232919127</v>
      </c>
      <c r="AE74" s="70">
        <f t="shared" ca="1" si="48"/>
        <v>0.28480733926478397</v>
      </c>
      <c r="AF74" s="70">
        <f t="shared" ca="1" si="48"/>
        <v>0.31494945134202457</v>
      </c>
      <c r="AG74" s="70">
        <f t="shared" ca="1" si="48"/>
        <v>0.36770793942662455</v>
      </c>
      <c r="AH74" s="70">
        <f t="shared" ca="1" si="48"/>
        <v>0.36589534130779994</v>
      </c>
      <c r="AI74" s="70">
        <f t="shared" ca="1" si="48"/>
        <v>0.29878945096572873</v>
      </c>
      <c r="AJ74" s="70">
        <f t="shared" ca="1" si="48"/>
        <v>0.30304779838928358</v>
      </c>
      <c r="AK74" s="70">
        <f t="shared" ca="1" si="48"/>
        <v>0.36162699577869828</v>
      </c>
      <c r="AL74" s="70">
        <f t="shared" ca="1" si="48"/>
        <v>0.38256463676426422</v>
      </c>
      <c r="AM74" s="70">
        <f t="shared" ca="1" si="48"/>
        <v>0.31238038750101682</v>
      </c>
      <c r="AN74" s="70">
        <f t="shared" ca="1" si="48"/>
        <v>0.30853603386482176</v>
      </c>
      <c r="AO74" s="70">
        <f t="shared" ca="1" si="48"/>
        <v>0.39407008288881784</v>
      </c>
      <c r="AP74" s="70">
        <f t="shared" ca="1" si="48"/>
        <v>0.36869926315247137</v>
      </c>
      <c r="AQ74" s="70">
        <f t="shared" ca="1" si="48"/>
        <v>0.30231273059812475</v>
      </c>
      <c r="AR74" s="70">
        <f t="shared" ca="1" si="48"/>
        <v>0.29637265653722583</v>
      </c>
      <c r="AS74" s="70">
        <f t="shared" ca="1" si="48"/>
        <v>0.38525741218699439</v>
      </c>
      <c r="AT74" s="70">
        <f t="shared" ca="1" si="48"/>
        <v>0.34359371832067809</v>
      </c>
      <c r="AU74" s="70">
        <f t="shared" ca="1" si="48"/>
        <v>0.28210128580925825</v>
      </c>
      <c r="AV74" s="70">
        <f t="shared" ca="1" si="48"/>
        <v>0.27512193610870861</v>
      </c>
      <c r="AW74" s="70">
        <f t="shared" ca="1" si="48"/>
        <v>0.35899265796637281</v>
      </c>
      <c r="AX74" s="70">
        <f t="shared" ca="1" si="48"/>
        <v>0.32094213390351878</v>
      </c>
      <c r="AY74" s="70">
        <f t="shared" ca="1" si="48"/>
        <v>0.26416475547119528</v>
      </c>
      <c r="AZ74" s="70">
        <f t="shared" ca="1" si="48"/>
        <v>0.25626739342667432</v>
      </c>
      <c r="BA74" s="70">
        <f t="shared" ca="1" si="48"/>
        <v>0.33519989332975614</v>
      </c>
      <c r="BB74" s="8" t="s">
        <v>75</v>
      </c>
    </row>
    <row r="75" spans="1:54" x14ac:dyDescent="0.2">
      <c r="B75" s="18"/>
      <c r="BB75" s="8" t="s">
        <v>75</v>
      </c>
    </row>
    <row r="76" spans="1:54" s="35" customFormat="1" x14ac:dyDescent="0.2">
      <c r="A76" s="1" t="s">
        <v>75</v>
      </c>
      <c r="B76" s="36" t="s">
        <v>8</v>
      </c>
      <c r="C76" s="36"/>
      <c r="D76" s="36"/>
      <c r="E76" s="36"/>
      <c r="F76" s="36"/>
      <c r="G76" s="37"/>
      <c r="H76" s="37"/>
      <c r="I76" s="37"/>
      <c r="J76" s="37"/>
      <c r="K76" s="37"/>
      <c r="L76" s="37"/>
      <c r="M76" s="37"/>
      <c r="N76" s="37"/>
      <c r="R76" s="36"/>
      <c r="S76" s="36"/>
      <c r="T76" s="36"/>
      <c r="U76" s="36"/>
      <c r="V76" s="44"/>
      <c r="W76" s="44"/>
      <c r="X76" s="44"/>
      <c r="Y76" s="44"/>
      <c r="Z76" s="44"/>
      <c r="AA76" s="44"/>
      <c r="AB76" s="44"/>
      <c r="AC76" s="44"/>
      <c r="AD76" s="44"/>
      <c r="AE76" s="44"/>
      <c r="AF76" s="44"/>
      <c r="AG76" s="44"/>
      <c r="AH76" s="44"/>
      <c r="AI76" s="44"/>
      <c r="AJ76" s="44"/>
      <c r="AK76" s="44"/>
      <c r="AL76" s="44"/>
      <c r="AM76" s="44"/>
      <c r="AN76" s="44"/>
      <c r="AO76" s="44"/>
      <c r="AP76" s="44"/>
      <c r="AQ76" s="44"/>
      <c r="AR76" s="44"/>
      <c r="AS76" s="44"/>
      <c r="AT76" s="44"/>
      <c r="AU76" s="44"/>
      <c r="AV76" s="44"/>
      <c r="AW76" s="44"/>
      <c r="AX76" s="44"/>
      <c r="AY76" s="44"/>
      <c r="AZ76" s="44"/>
      <c r="BA76" s="44"/>
      <c r="BB76" s="90" t="s">
        <v>75</v>
      </c>
    </row>
    <row r="77" spans="1:54" x14ac:dyDescent="0.2">
      <c r="B77" s="1" t="s">
        <v>133</v>
      </c>
      <c r="C77" s="45" t="s">
        <v>164</v>
      </c>
      <c r="G77" s="11">
        <f t="shared" ref="G77:N80" ca="1" si="49">+SUMIFS(77:77,$6:$6,G$3)</f>
        <v>40.583864179273178</v>
      </c>
      <c r="H77" s="11">
        <f t="shared" ca="1" si="49"/>
        <v>43.276059216278341</v>
      </c>
      <c r="I77" s="11">
        <f t="shared" ca="1" si="49"/>
        <v>44.196627127538093</v>
      </c>
      <c r="J77" s="11">
        <f t="shared" ca="1" si="49"/>
        <v>44.161514098988626</v>
      </c>
      <c r="K77" s="11">
        <f t="shared" ca="1" si="49"/>
        <v>44.5923059992191</v>
      </c>
      <c r="L77" s="11">
        <f t="shared" ca="1" si="49"/>
        <v>45.027300238637693</v>
      </c>
      <c r="M77" s="11">
        <f t="shared" ca="1" si="49"/>
        <v>45.466537810713938</v>
      </c>
      <c r="N77" s="11">
        <f t="shared" ca="1" si="49"/>
        <v>45.910060108805311</v>
      </c>
      <c r="P77" s="97">
        <f ca="1">+IFERROR((N77/I77)^(1/5)-1,"NM")</f>
        <v>7.6361660757755523E-3</v>
      </c>
      <c r="V77" s="46">
        <f ca="1">+SUMIFS(Segments!98:98,Segments!$3:$3,'Segments USD'!V$3)/V$9</f>
        <v>7.5821272138086018</v>
      </c>
      <c r="W77" s="46">
        <f ca="1">+SUMIFS(Segments!98:98,Segments!$3:$3,'Segments USD'!W$3)/W$9</f>
        <v>8.4642672449829526</v>
      </c>
      <c r="X77" s="46">
        <f ca="1">+SUMIFS(Segments!98:98,Segments!$3:$3,'Segments USD'!X$3)/X$9</f>
        <v>7.7205753246074584</v>
      </c>
      <c r="Y77" s="46">
        <f ca="1">+SUMIFS(Segments!98:98,Segments!$3:$3,'Segments USD'!Y$3)/Y$9</f>
        <v>16.816894395874169</v>
      </c>
      <c r="Z77" s="46">
        <f ca="1">+SUMIFS(Segments!98:98,Segments!$3:$3,'Segments USD'!Z$3)/Z$9</f>
        <v>10.651570446378987</v>
      </c>
      <c r="AA77" s="46">
        <f ca="1">+SUMIFS(Segments!98:98,Segments!$3:$3,'Segments USD'!AA$3)/AA$9</f>
        <v>9.4583530950317609</v>
      </c>
      <c r="AB77" s="46">
        <f ca="1">+SUMIFS(Segments!98:98,Segments!$3:$3,'Segments USD'!AB$3)/AB$9</f>
        <v>11.169867902353657</v>
      </c>
      <c r="AC77" s="46">
        <f ca="1">+SUMIFS(Segments!98:98,Segments!$3:$3,'Segments USD'!AC$3)/AC$9</f>
        <v>11.996267772513942</v>
      </c>
      <c r="AD77" s="46">
        <f ca="1">+SUMIFS(Segments!98:98,Segments!$3:$3,'Segments USD'!AD$3)/AD$9</f>
        <v>11.476990945413753</v>
      </c>
      <c r="AE77" s="46">
        <f ca="1">+SUMIFS(Segments!98:98,Segments!$3:$3,'Segments USD'!AE$3)/AE$9</f>
        <v>10.960716828880127</v>
      </c>
      <c r="AF77" s="46">
        <f ca="1">+SUMIFS(Segments!98:98,Segments!$3:$3,'Segments USD'!AF$3)/AF$9</f>
        <v>10.906455854479729</v>
      </c>
      <c r="AG77" s="46">
        <f ca="1">+SUMIFS(Segments!98:98,Segments!$3:$3,'Segments USD'!AG$3)/AG$9</f>
        <v>10.852463498764482</v>
      </c>
      <c r="AH77" s="46">
        <f ca="1">+SUMIFS(Segments!98:98,Segments!$3:$3,'Segments USD'!AH$3)/AH$9</f>
        <v>11.122700584897082</v>
      </c>
      <c r="AI77" s="46">
        <f ca="1">+SUMIFS(Segments!98:98,Segments!$3:$3,'Segments USD'!AI$3)/AI$9</f>
        <v>11.067637710714422</v>
      </c>
      <c r="AJ77" s="46">
        <f ca="1">+SUMIFS(Segments!98:98,Segments!$3:$3,'Segments USD'!AJ$3)/AJ$9</f>
        <v>11.012847425017815</v>
      </c>
      <c r="AK77" s="46">
        <f ca="1">+SUMIFS(Segments!98:98,Segments!$3:$3,'Segments USD'!AK$3)/AK$9</f>
        <v>10.958328378359306</v>
      </c>
      <c r="AL77" s="46">
        <f ca="1">+SUMIFS(Segments!98:98,Segments!$3:$3,'Segments USD'!AL$3)/AL$9</f>
        <v>11.231201604810531</v>
      </c>
      <c r="AM77" s="46">
        <f ca="1">+SUMIFS(Segments!98:98,Segments!$3:$3,'Segments USD'!AM$3)/AM$9</f>
        <v>11.175601596865922</v>
      </c>
      <c r="AN77" s="46">
        <f ca="1">+SUMIFS(Segments!98:98,Segments!$3:$3,'Segments USD'!AN$3)/AN$9</f>
        <v>11.120276836485397</v>
      </c>
      <c r="AO77" s="46">
        <f ca="1">+SUMIFS(Segments!98:98,Segments!$3:$3,'Segments USD'!AO$3)/AO$9</f>
        <v>11.06522596105725</v>
      </c>
      <c r="AP77" s="46">
        <f ca="1">+SUMIFS(Segments!98:98,Segments!$3:$3,'Segments USD'!AP$3)/AP$9</f>
        <v>11.340761043156846</v>
      </c>
      <c r="AQ77" s="46">
        <f ca="1">+SUMIFS(Segments!98:98,Segments!$3:$3,'Segments USD'!AQ$3)/AQ$9</f>
        <v>11.284618661755077</v>
      </c>
      <c r="AR77" s="46">
        <f ca="1">+SUMIFS(Segments!98:98,Segments!$3:$3,'Segments USD'!AR$3)/AR$9</f>
        <v>11.228754212934508</v>
      </c>
      <c r="AS77" s="46">
        <f ca="1">+SUMIFS(Segments!98:98,Segments!$3:$3,'Segments USD'!AS$3)/AS$9</f>
        <v>11.173166320791264</v>
      </c>
      <c r="AT77" s="46">
        <f ca="1">+SUMIFS(Segments!98:98,Segments!$3:$3,'Segments USD'!AT$3)/AT$9</f>
        <v>11.451389224719875</v>
      </c>
      <c r="AU77" s="46">
        <f ca="1">+SUMIFS(Segments!98:98,Segments!$3:$3,'Segments USD'!AU$3)/AU$9</f>
        <v>11.394699179052942</v>
      </c>
      <c r="AV77" s="46">
        <f ca="1">+SUMIFS(Segments!98:98,Segments!$3:$3,'Segments USD'!AV$3)/AV$9</f>
        <v>11.338289777176442</v>
      </c>
      <c r="AW77" s="46">
        <f ca="1">+SUMIFS(Segments!98:98,Segments!$3:$3,'Segments USD'!AW$3)/AW$9</f>
        <v>11.282159629764676</v>
      </c>
      <c r="AX77" s="46">
        <f ca="1">+SUMIFS(Segments!98:98,Segments!$3:$3,'Segments USD'!AX$3)/AX$9</f>
        <v>11.563096575000895</v>
      </c>
      <c r="AY77" s="46">
        <f ca="1">+SUMIFS(Segments!98:98,Segments!$3:$3,'Segments USD'!AY$3)/AY$9</f>
        <v>11.505853522649401</v>
      </c>
      <c r="AZ77" s="46">
        <f ca="1">+SUMIFS(Segments!98:98,Segments!$3:$3,'Segments USD'!AZ$3)/AZ$9</f>
        <v>11.448893851745197</v>
      </c>
      <c r="BA77" s="46">
        <f ca="1">+SUMIFS(Segments!98:98,Segments!$3:$3,'Segments USD'!BA$3)/BA$9</f>
        <v>11.392216159409822</v>
      </c>
      <c r="BB77" s="8" t="s">
        <v>75</v>
      </c>
    </row>
    <row r="78" spans="1:54" s="2" customFormat="1" x14ac:dyDescent="0.2">
      <c r="B78" s="18" t="s">
        <v>307</v>
      </c>
      <c r="C78" s="45" t="s">
        <v>164</v>
      </c>
      <c r="G78" s="13">
        <f t="shared" ca="1" si="49"/>
        <v>20.680801214099439</v>
      </c>
      <c r="H78" s="13">
        <f t="shared" ca="1" si="49"/>
        <v>26.919754567776998</v>
      </c>
      <c r="I78" s="13">
        <f t="shared" ca="1" si="49"/>
        <v>29.305982402094507</v>
      </c>
      <c r="J78" s="13">
        <f t="shared" ca="1" si="49"/>
        <v>28.973056479036174</v>
      </c>
      <c r="K78" s="13">
        <f t="shared" ca="1" si="49"/>
        <v>29.100079226867599</v>
      </c>
      <c r="L78" s="13">
        <f t="shared" ca="1" si="49"/>
        <v>29.225228930839162</v>
      </c>
      <c r="M78" s="13">
        <f t="shared" ca="1" si="49"/>
        <v>29.348425076759433</v>
      </c>
      <c r="N78" s="13">
        <f t="shared" ca="1" si="49"/>
        <v>29.469585120171722</v>
      </c>
      <c r="P78" s="131">
        <f ca="1">+IFERROR((N78/I78)^(1/5)-1,"NM")</f>
        <v>1.1140292467772817E-3</v>
      </c>
      <c r="V78" s="148">
        <f ca="1">+SUMIFS(Segments!99:99,Segments!$3:$3,'Segments USD'!V$3)/V$9</f>
        <v>3.4758947381863878</v>
      </c>
      <c r="W78" s="148">
        <f ca="1">+SUMIFS(Segments!99:99,Segments!$3:$3,'Segments USD'!W$3)/W$9</f>
        <v>3.1372340183631051</v>
      </c>
      <c r="X78" s="148">
        <f ca="1">+SUMIFS(Segments!99:99,Segments!$3:$3,'Segments USD'!X$3)/X$9</f>
        <v>4.2238032360967033</v>
      </c>
      <c r="Y78" s="148">
        <f ca="1">+SUMIFS(Segments!99:99,Segments!$3:$3,'Segments USD'!Y$3)/Y$9</f>
        <v>9.8438692214532448</v>
      </c>
      <c r="Z78" s="148">
        <f ca="1">+SUMIFS(Segments!99:99,Segments!$3:$3,'Segments USD'!Z$3)/Z$9</f>
        <v>5.8664251918874273</v>
      </c>
      <c r="AA78" s="148">
        <f ca="1">+SUMIFS(Segments!99:99,Segments!$3:$3,'Segments USD'!AA$3)/AA$9</f>
        <v>6.0665789806191235</v>
      </c>
      <c r="AB78" s="148">
        <f ca="1">+SUMIFS(Segments!99:99,Segments!$3:$3,'Segments USD'!AB$3)/AB$9</f>
        <v>7.1698972793249229</v>
      </c>
      <c r="AC78" s="148">
        <f ca="1">+SUMIFS(Segments!99:99,Segments!$3:$3,'Segments USD'!AC$3)/AC$9</f>
        <v>7.816853115945527</v>
      </c>
      <c r="AD78" s="148">
        <f ca="1">+SUMIFS(Segments!99:99,Segments!$3:$3,'Segments USD'!AD$3)/AD$9</f>
        <v>7.3832113582274044</v>
      </c>
      <c r="AE78" s="148">
        <f ca="1">+SUMIFS(Segments!99:99,Segments!$3:$3,'Segments USD'!AE$3)/AE$9</f>
        <v>7.8485368918689584</v>
      </c>
      <c r="AF78" s="148">
        <f ca="1">+SUMIFS(Segments!99:99,Segments!$3:$3,'Segments USD'!AF$3)/AF$9</f>
        <v>6.8264858189904212</v>
      </c>
      <c r="AG78" s="148">
        <f ca="1">+SUMIFS(Segments!99:99,Segments!$3:$3,'Segments USD'!AG$3)/AG$9</f>
        <v>7.2477483330077259</v>
      </c>
      <c r="AH78" s="148">
        <f ca="1">+SUMIFS(Segments!99:99,Segments!$3:$3,'Segments USD'!AH$3)/AH$9</f>
        <v>6.9470454059670068</v>
      </c>
      <c r="AI78" s="148">
        <f ca="1">+SUMIFS(Segments!99:99,Segments!$3:$3,'Segments USD'!AI$3)/AI$9</f>
        <v>7.8932141749630311</v>
      </c>
      <c r="AJ78" s="148">
        <f ca="1">+SUMIFS(Segments!99:99,Segments!$3:$3,'Segments USD'!AJ$3)/AJ$9</f>
        <v>6.8512779888187216</v>
      </c>
      <c r="AK78" s="148">
        <f ca="1">+SUMIFS(Segments!99:99,Segments!$3:$3,'Segments USD'!AK$3)/AK$9</f>
        <v>7.2815189092874144</v>
      </c>
      <c r="AL78" s="148">
        <f ca="1">+SUMIFS(Segments!99:99,Segments!$3:$3,'Segments USD'!AL$3)/AL$9</f>
        <v>6.9720333223018542</v>
      </c>
      <c r="AM78" s="148">
        <f ca="1">+SUMIFS(Segments!99:99,Segments!$3:$3,'Segments USD'!AM$3)/AM$9</f>
        <v>7.9376895903995024</v>
      </c>
      <c r="AN78" s="148">
        <f ca="1">+SUMIFS(Segments!99:99,Segments!$3:$3,'Segments USD'!AN$3)/AN$9</f>
        <v>6.8754760115623208</v>
      </c>
      <c r="AO78" s="148">
        <f ca="1">+SUMIFS(Segments!99:99,Segments!$3:$3,'Segments USD'!AO$3)/AO$9</f>
        <v>7.3148803026039193</v>
      </c>
      <c r="AP78" s="148">
        <f ca="1">+SUMIFS(Segments!99:99,Segments!$3:$3,'Segments USD'!AP$3)/AP$9</f>
        <v>6.9964093949979951</v>
      </c>
      <c r="AQ78" s="148">
        <f ca="1">+SUMIFS(Segments!99:99,Segments!$3:$3,'Segments USD'!AQ$3)/AQ$9</f>
        <v>7.9819484151593301</v>
      </c>
      <c r="AR78" s="148">
        <f ca="1">+SUMIFS(Segments!99:99,Segments!$3:$3,'Segments USD'!AR$3)/AR$9</f>
        <v>6.8990573715129706</v>
      </c>
      <c r="AS78" s="148">
        <f ca="1">+SUMIFS(Segments!99:99,Segments!$3:$3,'Segments USD'!AS$3)/AS$9</f>
        <v>7.3478137491688669</v>
      </c>
      <c r="AT78" s="148">
        <f ca="1">+SUMIFS(Segments!99:99,Segments!$3:$3,'Segments USD'!AT$3)/AT$9</f>
        <v>7.0201505435978486</v>
      </c>
      <c r="AU78" s="148">
        <f ca="1">+SUMIFS(Segments!99:99,Segments!$3:$3,'Segments USD'!AU$3)/AU$9</f>
        <v>8.0259755275252793</v>
      </c>
      <c r="AV78" s="148">
        <f ca="1">+SUMIFS(Segments!99:99,Segments!$3:$3,'Segments USD'!AV$3)/AV$9</f>
        <v>6.9219989989264734</v>
      </c>
      <c r="AW78" s="148">
        <f ca="1">+SUMIFS(Segments!99:99,Segments!$3:$3,'Segments USD'!AW$3)/AW$9</f>
        <v>7.3803000067098319</v>
      </c>
      <c r="AX78" s="148">
        <f ca="1">+SUMIFS(Segments!99:99,Segments!$3:$3,'Segments USD'!AX$3)/AX$9</f>
        <v>7.0432331202564269</v>
      </c>
      <c r="AY78" s="148">
        <f ca="1">+SUMIFS(Segments!99:99,Segments!$3:$3,'Segments USD'!AY$3)/AY$9</f>
        <v>8.0697553980911856</v>
      </c>
      <c r="AZ78" s="148">
        <f ca="1">+SUMIFS(Segments!99:99,Segments!$3:$3,'Segments USD'!AZ$3)/AZ$9</f>
        <v>6.9442772579302279</v>
      </c>
      <c r="BA78" s="148">
        <f ca="1">+SUMIFS(Segments!99:99,Segments!$3:$3,'Segments USD'!BA$3)/BA$9</f>
        <v>7.4123193438938806</v>
      </c>
      <c r="BB78" s="83" t="s">
        <v>75</v>
      </c>
    </row>
    <row r="79" spans="1:54" x14ac:dyDescent="0.2">
      <c r="B79" s="1" t="s">
        <v>304</v>
      </c>
      <c r="C79" s="45" t="s">
        <v>164</v>
      </c>
      <c r="G79" s="11">
        <f t="shared" ca="1" si="49"/>
        <v>-2.4650695393750754</v>
      </c>
      <c r="H79" s="11">
        <f t="shared" ca="1" si="49"/>
        <v>-2.3549103663190079</v>
      </c>
      <c r="I79" s="11">
        <f t="shared" ca="1" si="49"/>
        <v>-2.1364323311095266</v>
      </c>
      <c r="J79" s="11">
        <f t="shared" ca="1" si="49"/>
        <v>-1.9692512411801484</v>
      </c>
      <c r="K79" s="11">
        <f t="shared" ca="1" si="49"/>
        <v>-1.9084800740800696</v>
      </c>
      <c r="L79" s="11">
        <f t="shared" ca="1" si="49"/>
        <v>-1.8468708904213096</v>
      </c>
      <c r="M79" s="11">
        <f t="shared" ca="1" si="49"/>
        <v>-1.7847201471571141</v>
      </c>
      <c r="N79" s="11">
        <f t="shared" ca="1" si="49"/>
        <v>-1.7275199819389808</v>
      </c>
      <c r="P79" s="97">
        <f ca="1">+IFERROR((N79/I79)^(1/5)-1,"NM")</f>
        <v>-4.1600038557514041E-2</v>
      </c>
      <c r="V79" s="46">
        <f ca="1">+SUMIFS(Segments!100:100,Segments!$3:$3,'Segments USD'!V$3)/V$9</f>
        <v>-0.48652611070359486</v>
      </c>
      <c r="W79" s="46">
        <f ca="1">+SUMIFS(Segments!100:100,Segments!$3:$3,'Segments USD'!W$3)/W$9</f>
        <v>-0.47210426879080347</v>
      </c>
      <c r="X79" s="46">
        <f ca="1">+SUMIFS(Segments!100:100,Segments!$3:$3,'Segments USD'!X$3)/X$9</f>
        <v>-0.45595951009837266</v>
      </c>
      <c r="Y79" s="46">
        <f ca="1">+SUMIFS(Segments!100:100,Segments!$3:$3,'Segments USD'!Y$3)/Y$9</f>
        <v>-1.0504796497823046</v>
      </c>
      <c r="Z79" s="46">
        <f ca="1">+SUMIFS(Segments!100:100,Segments!$3:$3,'Segments USD'!Z$3)/Z$9</f>
        <v>-0.74852212943476604</v>
      </c>
      <c r="AA79" s="46">
        <f ca="1">+SUMIFS(Segments!100:100,Segments!$3:$3,'Segments USD'!AA$3)/AA$9</f>
        <v>-0.38137137956666173</v>
      </c>
      <c r="AB79" s="46">
        <f ca="1">+SUMIFS(Segments!100:100,Segments!$3:$3,'Segments USD'!AB$3)/AB$9</f>
        <v>-0.49301099484755617</v>
      </c>
      <c r="AC79" s="46">
        <f ca="1">+SUMIFS(Segments!100:100,Segments!$3:$3,'Segments USD'!AC$3)/AC$9</f>
        <v>-0.73200586247002397</v>
      </c>
      <c r="AD79" s="46">
        <f ca="1">+SUMIFS(Segments!100:100,Segments!$3:$3,'Segments USD'!AD$3)/AD$9</f>
        <v>-0.61379614543807948</v>
      </c>
      <c r="AE79" s="46">
        <f ca="1">+SUMIFS(Segments!100:100,Segments!$3:$3,'Segments USD'!AE$3)/AE$9</f>
        <v>-0.44473967021162153</v>
      </c>
      <c r="AF79" s="46">
        <f ca="1">+SUMIFS(Segments!100:100,Segments!$3:$3,'Segments USD'!AF$3)/AF$9</f>
        <v>-0.45338837788898095</v>
      </c>
      <c r="AG79" s="46">
        <f ca="1">+SUMIFS(Segments!100:100,Segments!$3:$3,'Segments USD'!AG$3)/AG$9</f>
        <v>-0.62450813757084456</v>
      </c>
      <c r="AH79" s="46">
        <f ca="1">+SUMIFS(Segments!100:100,Segments!$3:$3,'Segments USD'!AH$3)/AH$9</f>
        <v>-0.54953581591437128</v>
      </c>
      <c r="AI79" s="46">
        <f ca="1">+SUMIFS(Segments!100:100,Segments!$3:$3,'Segments USD'!AI$3)/AI$9</f>
        <v>-0.41485963027942585</v>
      </c>
      <c r="AJ79" s="46">
        <f ca="1">+SUMIFS(Segments!100:100,Segments!$3:$3,'Segments USD'!AJ$3)/AJ$9</f>
        <v>-0.42286122389218933</v>
      </c>
      <c r="AK79" s="46">
        <f ca="1">+SUMIFS(Segments!100:100,Segments!$3:$3,'Segments USD'!AK$3)/AK$9</f>
        <v>-0.58199457109416186</v>
      </c>
      <c r="AL79" s="46">
        <f ca="1">+SUMIFS(Segments!100:100,Segments!$3:$3,'Segments USD'!AL$3)/AL$9</f>
        <v>-0.53436912961773286</v>
      </c>
      <c r="AM79" s="46">
        <f ca="1">+SUMIFS(Segments!100:100,Segments!$3:$3,'Segments USD'!AM$3)/AM$9</f>
        <v>-0.39968483332481913</v>
      </c>
      <c r="AN79" s="46">
        <f ca="1">+SUMIFS(Segments!100:100,Segments!$3:$3,'Segments USD'!AN$3)/AN$9</f>
        <v>-0.4074855678374163</v>
      </c>
      <c r="AO79" s="46">
        <f ca="1">+SUMIFS(Segments!100:100,Segments!$3:$3,'Segments USD'!AO$3)/AO$9</f>
        <v>-0.56694054330010124</v>
      </c>
      <c r="AP79" s="46">
        <f ca="1">+SUMIFS(Segments!100:100,Segments!$3:$3,'Segments USD'!AP$3)/AP$9</f>
        <v>-0.51881325525579125</v>
      </c>
      <c r="AQ79" s="46">
        <f ca="1">+SUMIFS(Segments!100:100,Segments!$3:$3,'Segments USD'!AQ$3)/AQ$9</f>
        <v>-0.38453575717908206</v>
      </c>
      <c r="AR79" s="46">
        <f ca="1">+SUMIFS(Segments!100:100,Segments!$3:$3,'Segments USD'!AR$3)/AR$9</f>
        <v>-0.39211823029904319</v>
      </c>
      <c r="AS79" s="46">
        <f ca="1">+SUMIFS(Segments!100:100,Segments!$3:$3,'Segments USD'!AS$3)/AS$9</f>
        <v>-0.55140364768739314</v>
      </c>
      <c r="AT79" s="46">
        <f ca="1">+SUMIFS(Segments!100:100,Segments!$3:$3,'Segments USD'!AT$3)/AT$9</f>
        <v>-0.50294906748008117</v>
      </c>
      <c r="AU79" s="46">
        <f ca="1">+SUMIFS(Segments!100:100,Segments!$3:$3,'Segments USD'!AU$3)/AU$9</f>
        <v>-0.36947770032219002</v>
      </c>
      <c r="AV79" s="46">
        <f ca="1">+SUMIFS(Segments!100:100,Segments!$3:$3,'Segments USD'!AV$3)/AV$9</f>
        <v>-0.37682749083529793</v>
      </c>
      <c r="AW79" s="46">
        <f ca="1">+SUMIFS(Segments!100:100,Segments!$3:$3,'Segments USD'!AW$3)/AW$9</f>
        <v>-0.53546588851954491</v>
      </c>
      <c r="AX79" s="46">
        <f ca="1">+SUMIFS(Segments!100:100,Segments!$3:$3,'Segments USD'!AX$3)/AX$9</f>
        <v>-0.48823316147624735</v>
      </c>
      <c r="AY79" s="46">
        <f ca="1">+SUMIFS(Segments!100:100,Segments!$3:$3,'Segments USD'!AY$3)/AY$9</f>
        <v>-0.35576218402274373</v>
      </c>
      <c r="AZ79" s="46">
        <f ca="1">+SUMIFS(Segments!100:100,Segments!$3:$3,'Segments USD'!AZ$3)/AZ$9</f>
        <v>-0.36289692932212481</v>
      </c>
      <c r="BA79" s="46">
        <f ca="1">+SUMIFS(Segments!100:100,Segments!$3:$3,'Segments USD'!BA$3)/BA$9</f>
        <v>-0.52062770711786488</v>
      </c>
      <c r="BB79" s="8" t="s">
        <v>75</v>
      </c>
    </row>
    <row r="80" spans="1:54" x14ac:dyDescent="0.2">
      <c r="B80" s="18" t="s">
        <v>306</v>
      </c>
      <c r="C80" s="45" t="s">
        <v>164</v>
      </c>
      <c r="G80" s="13">
        <f t="shared" ca="1" si="49"/>
        <v>18.215731674724367</v>
      </c>
      <c r="H80" s="13">
        <f t="shared" ca="1" si="49"/>
        <v>24.564844201457994</v>
      </c>
      <c r="I80" s="13">
        <f t="shared" ca="1" si="49"/>
        <v>27.169550070984982</v>
      </c>
      <c r="J80" s="13">
        <f t="shared" ca="1" si="49"/>
        <v>27.003805237856024</v>
      </c>
      <c r="K80" s="13">
        <f t="shared" ca="1" si="49"/>
        <v>27.191599152787528</v>
      </c>
      <c r="L80" s="13">
        <f t="shared" ca="1" si="49"/>
        <v>27.378358040417854</v>
      </c>
      <c r="M80" s="13">
        <f t="shared" ca="1" si="49"/>
        <v>27.563704929602316</v>
      </c>
      <c r="N80" s="13">
        <f t="shared" ca="1" si="49"/>
        <v>27.742065138232739</v>
      </c>
      <c r="P80" s="131">
        <f ca="1">+IFERROR((N80/I80)^(1/5)-1,"NM")</f>
        <v>4.179308012994154E-3</v>
      </c>
      <c r="V80" s="148">
        <f ca="1">+SUMIFS(Segments!101:101,Segments!$3:$3,'Segments USD'!V$3)/V$9</f>
        <v>2.9893686274827926</v>
      </c>
      <c r="W80" s="148">
        <f ca="1">+SUMIFS(Segments!101:101,Segments!$3:$3,'Segments USD'!W$3)/W$9</f>
        <v>2.6651297495723019</v>
      </c>
      <c r="X80" s="148">
        <f ca="1">+SUMIFS(Segments!101:101,Segments!$3:$3,'Segments USD'!X$3)/X$9</f>
        <v>3.7678437259983304</v>
      </c>
      <c r="Y80" s="148">
        <f ca="1">+SUMIFS(Segments!101:101,Segments!$3:$3,'Segments USD'!Y$3)/Y$9</f>
        <v>8.7933895716709412</v>
      </c>
      <c r="Z80" s="148">
        <f ca="1">+SUMIFS(Segments!101:101,Segments!$3:$3,'Segments USD'!Z$3)/Z$9</f>
        <v>5.1179030624526618</v>
      </c>
      <c r="AA80" s="148">
        <f ca="1">+SUMIFS(Segments!101:101,Segments!$3:$3,'Segments USD'!AA$3)/AA$9</f>
        <v>5.6852076010524621</v>
      </c>
      <c r="AB80" s="148">
        <f ca="1">+SUMIFS(Segments!101:101,Segments!$3:$3,'Segments USD'!AB$3)/AB$9</f>
        <v>6.6768862844773675</v>
      </c>
      <c r="AC80" s="148">
        <f ca="1">+SUMIFS(Segments!101:101,Segments!$3:$3,'Segments USD'!AC$3)/AC$9</f>
        <v>7.0848472534755018</v>
      </c>
      <c r="AD80" s="148">
        <f ca="1">+SUMIFS(Segments!101:101,Segments!$3:$3,'Segments USD'!AD$3)/AD$9</f>
        <v>6.7694152127893252</v>
      </c>
      <c r="AE80" s="148">
        <f ca="1">+SUMIFS(Segments!101:101,Segments!$3:$3,'Segments USD'!AE$3)/AE$9</f>
        <v>7.4037972216573369</v>
      </c>
      <c r="AF80" s="148">
        <f ca="1">+SUMIFS(Segments!101:101,Segments!$3:$3,'Segments USD'!AF$3)/AF$9</f>
        <v>6.3730974411014403</v>
      </c>
      <c r="AG80" s="148">
        <f ca="1">+SUMIFS(Segments!101:101,Segments!$3:$3,'Segments USD'!AG$3)/AG$9</f>
        <v>6.6232401954368809</v>
      </c>
      <c r="AH80" s="148">
        <f ca="1">+SUMIFS(Segments!101:101,Segments!$3:$3,'Segments USD'!AH$3)/AH$9</f>
        <v>6.3975095900526355</v>
      </c>
      <c r="AI80" s="148">
        <f ca="1">+SUMIFS(Segments!101:101,Segments!$3:$3,'Segments USD'!AI$3)/AI$9</f>
        <v>7.4783545446836053</v>
      </c>
      <c r="AJ80" s="148">
        <f ca="1">+SUMIFS(Segments!101:101,Segments!$3:$3,'Segments USD'!AJ$3)/AJ$9</f>
        <v>6.4284167649265322</v>
      </c>
      <c r="AK80" s="148">
        <f ca="1">+SUMIFS(Segments!101:101,Segments!$3:$3,'Segments USD'!AK$3)/AK$9</f>
        <v>6.6995243381932523</v>
      </c>
      <c r="AL80" s="148">
        <f ca="1">+SUMIFS(Segments!101:101,Segments!$3:$3,'Segments USD'!AL$3)/AL$9</f>
        <v>6.4376641926841218</v>
      </c>
      <c r="AM80" s="148">
        <f ca="1">+SUMIFS(Segments!101:101,Segments!$3:$3,'Segments USD'!AM$3)/AM$9</f>
        <v>7.5380047570746846</v>
      </c>
      <c r="AN80" s="148">
        <f ca="1">+SUMIFS(Segments!101:101,Segments!$3:$3,'Segments USD'!AN$3)/AN$9</f>
        <v>6.4679904437249043</v>
      </c>
      <c r="AO80" s="148">
        <f ca="1">+SUMIFS(Segments!101:101,Segments!$3:$3,'Segments USD'!AO$3)/AO$9</f>
        <v>6.7479397593038177</v>
      </c>
      <c r="AP80" s="148">
        <f ca="1">+SUMIFS(Segments!101:101,Segments!$3:$3,'Segments USD'!AP$3)/AP$9</f>
        <v>6.4775961397422037</v>
      </c>
      <c r="AQ80" s="148">
        <f ca="1">+SUMIFS(Segments!101:101,Segments!$3:$3,'Segments USD'!AQ$3)/AQ$9</f>
        <v>7.5974126579802483</v>
      </c>
      <c r="AR80" s="148">
        <f ca="1">+SUMIFS(Segments!101:101,Segments!$3:$3,'Segments USD'!AR$3)/AR$9</f>
        <v>6.5069391412139277</v>
      </c>
      <c r="AS80" s="148">
        <f ca="1">+SUMIFS(Segments!101:101,Segments!$3:$3,'Segments USD'!AS$3)/AS$9</f>
        <v>6.7964101014814737</v>
      </c>
      <c r="AT80" s="148">
        <f ca="1">+SUMIFS(Segments!101:101,Segments!$3:$3,'Segments USD'!AT$3)/AT$9</f>
        <v>6.5172014761177675</v>
      </c>
      <c r="AU80" s="148">
        <f ca="1">+SUMIFS(Segments!101:101,Segments!$3:$3,'Segments USD'!AU$3)/AU$9</f>
        <v>7.6564978272030899</v>
      </c>
      <c r="AV80" s="148">
        <f ca="1">+SUMIFS(Segments!101:101,Segments!$3:$3,'Segments USD'!AV$3)/AV$9</f>
        <v>6.5451715080911752</v>
      </c>
      <c r="AW80" s="148">
        <f ca="1">+SUMIFS(Segments!101:101,Segments!$3:$3,'Segments USD'!AW$3)/AW$9</f>
        <v>6.8448341181902865</v>
      </c>
      <c r="AX80" s="148">
        <f ca="1">+SUMIFS(Segments!101:101,Segments!$3:$3,'Segments USD'!AX$3)/AX$9</f>
        <v>6.5549999587801793</v>
      </c>
      <c r="AY80" s="148">
        <f ca="1">+SUMIFS(Segments!101:101,Segments!$3:$3,'Segments USD'!AY$3)/AY$9</f>
        <v>7.7139932140684415</v>
      </c>
      <c r="AZ80" s="148">
        <f ca="1">+SUMIFS(Segments!101:101,Segments!$3:$3,'Segments USD'!AZ$3)/AZ$9</f>
        <v>6.5813803286081036</v>
      </c>
      <c r="BA80" s="148">
        <f ca="1">+SUMIFS(Segments!101:101,Segments!$3:$3,'Segments USD'!BA$3)/BA$9</f>
        <v>6.8916916367760157</v>
      </c>
      <c r="BB80" s="8" t="s">
        <v>75</v>
      </c>
    </row>
    <row r="81" spans="1:54" x14ac:dyDescent="0.2">
      <c r="B81" s="18"/>
      <c r="BB81" s="8" t="s">
        <v>75</v>
      </c>
    </row>
    <row r="82" spans="1:54" s="25" customFormat="1" x14ac:dyDescent="0.2">
      <c r="B82" s="33" t="s">
        <v>305</v>
      </c>
      <c r="C82" s="45" t="s">
        <v>177</v>
      </c>
      <c r="G82" s="70">
        <f t="shared" ref="G82:N82" ca="1" si="50">+G77/G$34</f>
        <v>0.17402829414522933</v>
      </c>
      <c r="H82" s="70">
        <f t="shared" ca="1" si="50"/>
        <v>0.17973496312303638</v>
      </c>
      <c r="I82" s="70">
        <f t="shared" ca="1" si="50"/>
        <v>0.16697444734736214</v>
      </c>
      <c r="J82" s="70">
        <f t="shared" ca="1" si="50"/>
        <v>0.15254459317765506</v>
      </c>
      <c r="K82" s="70">
        <f t="shared" ca="1" si="50"/>
        <v>0.14477581035817896</v>
      </c>
      <c r="L82" s="70">
        <f t="shared" ca="1" si="50"/>
        <v>0.13719820244222031</v>
      </c>
      <c r="M82" s="70">
        <f t="shared" ca="1" si="50"/>
        <v>0.12983135248230196</v>
      </c>
      <c r="N82" s="70">
        <f t="shared" ca="1" si="50"/>
        <v>0.12307529490136958</v>
      </c>
      <c r="V82" s="70">
        <f ca="1">+V77/V$34</f>
        <v>0.1458777435642207</v>
      </c>
      <c r="W82" s="70">
        <f t="shared" ref="W82:BA82" ca="1" si="51">+W77/W$34</f>
        <v>0.14015415950616061</v>
      </c>
      <c r="X82" s="70">
        <f t="shared" ca="1" si="51"/>
        <v>0.11469859208885572</v>
      </c>
      <c r="Y82" s="70">
        <f t="shared" ca="1" si="51"/>
        <v>0.31420311265372786</v>
      </c>
      <c r="Z82" s="70">
        <f t="shared" ca="1" si="51"/>
        <v>0.20026689315972582</v>
      </c>
      <c r="AA82" s="70">
        <f t="shared" ca="1" si="51"/>
        <v>0.14594968246857967</v>
      </c>
      <c r="AB82" s="70">
        <f t="shared" ca="1" si="51"/>
        <v>0.16475621578301863</v>
      </c>
      <c r="AC82" s="70">
        <f t="shared" ca="1" si="51"/>
        <v>0.21816040832948172</v>
      </c>
      <c r="AD82" s="70">
        <f t="shared" ca="1" si="51"/>
        <v>0.18905336630267958</v>
      </c>
      <c r="AE82" s="70">
        <f t="shared" ca="1" si="51"/>
        <v>0.14343502350340384</v>
      </c>
      <c r="AF82" s="70">
        <f t="shared" ca="1" si="51"/>
        <v>0.1469518421079557</v>
      </c>
      <c r="AG82" s="70">
        <f t="shared" ca="1" si="51"/>
        <v>0.20342206798944368</v>
      </c>
      <c r="AH82" s="70">
        <f t="shared" ca="1" si="51"/>
        <v>0.17297284904428356</v>
      </c>
      <c r="AI82" s="70">
        <f t="shared" ca="1" si="51"/>
        <v>0.13123160004213813</v>
      </c>
      <c r="AJ82" s="70">
        <f t="shared" ca="1" si="51"/>
        <v>0.13442821208665356</v>
      </c>
      <c r="AK82" s="70">
        <f t="shared" ca="1" si="51"/>
        <v>0.18593742216292788</v>
      </c>
      <c r="AL82" s="70">
        <f t="shared" ca="1" si="51"/>
        <v>0.1649723671006261</v>
      </c>
      <c r="AM82" s="70">
        <f t="shared" ca="1" si="51"/>
        <v>0.12400603612290348</v>
      </c>
      <c r="AN82" s="70">
        <f t="shared" ca="1" si="51"/>
        <v>0.12705527500444488</v>
      </c>
      <c r="AO82" s="70">
        <f t="shared" ca="1" si="51"/>
        <v>0.1776533070783109</v>
      </c>
      <c r="AP82" s="70">
        <f t="shared" ca="1" si="51"/>
        <v>0.15709733474968726</v>
      </c>
      <c r="AQ82" s="70">
        <f t="shared" ca="1" si="51"/>
        <v>0.11701722525720579</v>
      </c>
      <c r="AR82" s="70">
        <f t="shared" ca="1" si="51"/>
        <v>0.11991828575164934</v>
      </c>
      <c r="AS82" s="70">
        <f t="shared" ca="1" si="51"/>
        <v>0.16947019315560871</v>
      </c>
      <c r="AT82" s="70">
        <f t="shared" ca="1" si="51"/>
        <v>0.1493721629267766</v>
      </c>
      <c r="AU82" s="70">
        <f t="shared" ca="1" si="51"/>
        <v>0.11027808256368309</v>
      </c>
      <c r="AV82" s="70">
        <f t="shared" ca="1" si="51"/>
        <v>0.11303133707181991</v>
      </c>
      <c r="AW82" s="70">
        <f t="shared" ca="1" si="51"/>
        <v>0.16141482073094918</v>
      </c>
      <c r="AX82" s="70">
        <f t="shared" ca="1" si="51"/>
        <v>0.14222005596168985</v>
      </c>
      <c r="AY82" s="70">
        <f t="shared" ca="1" si="51"/>
        <v>0.10414745597324904</v>
      </c>
      <c r="AZ82" s="70">
        <f t="shared" ca="1" si="51"/>
        <v>0.10676465196724676</v>
      </c>
      <c r="BA82" s="70">
        <f t="shared" ca="1" si="51"/>
        <v>0.1539312458131803</v>
      </c>
      <c r="BB82" s="88" t="s">
        <v>75</v>
      </c>
    </row>
    <row r="83" spans="1:54" x14ac:dyDescent="0.2">
      <c r="B83" s="33" t="s">
        <v>308</v>
      </c>
      <c r="C83" s="45" t="s">
        <v>177</v>
      </c>
      <c r="G83" s="70">
        <f t="shared" ref="G83:N83" ca="1" si="52">+G80/G$52</f>
        <v>0.15610067311102899</v>
      </c>
      <c r="H83" s="70">
        <f t="shared" ca="1" si="52"/>
        <v>0.20085832108938351</v>
      </c>
      <c r="I83" s="70">
        <f t="shared" ca="1" si="52"/>
        <v>0.19457887342061678</v>
      </c>
      <c r="J83" s="70">
        <f t="shared" ca="1" si="52"/>
        <v>0.16771694211422075</v>
      </c>
      <c r="K83" s="70">
        <f t="shared" ca="1" si="52"/>
        <v>0.16139271553096846</v>
      </c>
      <c r="L83" s="70">
        <f t="shared" ca="1" si="52"/>
        <v>0.14755762044484849</v>
      </c>
      <c r="M83" s="70">
        <f t="shared" ca="1" si="52"/>
        <v>0.13737632750927808</v>
      </c>
      <c r="N83" s="70">
        <f t="shared" ca="1" si="52"/>
        <v>0.12831320580541514</v>
      </c>
      <c r="V83" s="70">
        <f ca="1">+V80/V$52</f>
        <v>0.13744629776956616</v>
      </c>
      <c r="W83" s="70">
        <f t="shared" ref="W83:BA83" ca="1" si="53">+W80/W$52</f>
        <v>7.754741494280927E-2</v>
      </c>
      <c r="X83" s="70">
        <f t="shared" ca="1" si="53"/>
        <v>0.10850947871804535</v>
      </c>
      <c r="Y83" s="70">
        <f t="shared" ca="1" si="53"/>
        <v>0.34015051924404616</v>
      </c>
      <c r="Z83" s="70">
        <f t="shared" ca="1" si="53"/>
        <v>0.2193702249401408</v>
      </c>
      <c r="AA83" s="70">
        <f t="shared" ca="1" si="53"/>
        <v>0.16350255504945616</v>
      </c>
      <c r="AB83" s="70">
        <f t="shared" ca="1" si="53"/>
        <v>0.17783327589786083</v>
      </c>
      <c r="AC83" s="70">
        <f t="shared" ca="1" si="53"/>
        <v>0.26582551424084355</v>
      </c>
      <c r="AD83" s="70">
        <f t="shared" ca="1" si="53"/>
        <v>0.22577095326920646</v>
      </c>
      <c r="AE83" s="70">
        <f t="shared" ca="1" si="53"/>
        <v>0.16950616142493743</v>
      </c>
      <c r="AF83" s="70">
        <f t="shared" ca="1" si="53"/>
        <v>0.14839894955845995</v>
      </c>
      <c r="AG83" s="70">
        <f t="shared" ca="1" si="53"/>
        <v>0.28765815782057541</v>
      </c>
      <c r="AH83" s="70">
        <f t="shared" ca="1" si="53"/>
        <v>0.19701823898637766</v>
      </c>
      <c r="AI83" s="70">
        <f t="shared" ca="1" si="53"/>
        <v>0.14457753534429568</v>
      </c>
      <c r="AJ83" s="70">
        <f t="shared" ca="1" si="53"/>
        <v>0.13054509143780096</v>
      </c>
      <c r="AK83" s="70">
        <f t="shared" ca="1" si="53"/>
        <v>0.24301723002388861</v>
      </c>
      <c r="AL83" s="70">
        <f t="shared" ca="1" si="53"/>
        <v>0.19384973460576482</v>
      </c>
      <c r="AM83" s="70">
        <f t="shared" ca="1" si="53"/>
        <v>0.13664324962325622</v>
      </c>
      <c r="AN83" s="70">
        <f t="shared" ca="1" si="53"/>
        <v>0.12466594967624381</v>
      </c>
      <c r="AO83" s="70">
        <f t="shared" ca="1" si="53"/>
        <v>0.23909161717811406</v>
      </c>
      <c r="AP83" s="70">
        <f t="shared" ca="1" si="53"/>
        <v>0.17792723475712324</v>
      </c>
      <c r="AQ83" s="70">
        <f t="shared" ca="1" si="53"/>
        <v>0.12500825729548345</v>
      </c>
      <c r="AR83" s="70">
        <f t="shared" ca="1" si="53"/>
        <v>0.11390029059372445</v>
      </c>
      <c r="AS83" s="70">
        <f t="shared" ca="1" si="53"/>
        <v>0.21759677235941199</v>
      </c>
      <c r="AT83" s="70">
        <f t="shared" ca="1" si="53"/>
        <v>0.16640821722430624</v>
      </c>
      <c r="AU83" s="70">
        <f t="shared" ca="1" si="53"/>
        <v>0.11616858537731316</v>
      </c>
      <c r="AV83" s="70">
        <f t="shared" ca="1" si="53"/>
        <v>0.10554823960253294</v>
      </c>
      <c r="AW83" s="70">
        <f t="shared" ca="1" si="53"/>
        <v>0.20395723691243497</v>
      </c>
      <c r="AX83" s="70">
        <f t="shared" ca="1" si="53"/>
        <v>0.15607689976534539</v>
      </c>
      <c r="AY83" s="70">
        <f t="shared" ca="1" si="53"/>
        <v>0.10833385462240591</v>
      </c>
      <c r="AZ83" s="70">
        <f t="shared" ca="1" si="53"/>
        <v>9.8160010777683396E-2</v>
      </c>
      <c r="BA83" s="70">
        <f t="shared" ca="1" si="53"/>
        <v>0.19168027173162841</v>
      </c>
      <c r="BB83" s="8" t="s">
        <v>75</v>
      </c>
    </row>
    <row r="84" spans="1:54" x14ac:dyDescent="0.2">
      <c r="B84" s="18"/>
      <c r="BB84" s="8" t="s">
        <v>75</v>
      </c>
    </row>
    <row r="85" spans="1:54" s="35" customFormat="1" x14ac:dyDescent="0.2">
      <c r="A85" s="1" t="s">
        <v>75</v>
      </c>
      <c r="B85" s="36" t="s">
        <v>225</v>
      </c>
      <c r="C85" s="36"/>
      <c r="D85" s="36"/>
      <c r="E85" s="36"/>
      <c r="F85" s="36"/>
      <c r="G85" s="37"/>
      <c r="H85" s="37"/>
      <c r="I85" s="37"/>
      <c r="J85" s="37"/>
      <c r="K85" s="37"/>
      <c r="L85" s="37"/>
      <c r="M85" s="37"/>
      <c r="N85" s="37"/>
      <c r="R85" s="36"/>
      <c r="S85" s="36"/>
      <c r="T85" s="36"/>
      <c r="U85" s="36"/>
      <c r="V85" s="44"/>
      <c r="W85" s="44"/>
      <c r="X85" s="44"/>
      <c r="Y85" s="44"/>
      <c r="Z85" s="44"/>
      <c r="AA85" s="44"/>
      <c r="AB85" s="44"/>
      <c r="AC85" s="44"/>
      <c r="AD85" s="44"/>
      <c r="AE85" s="44"/>
      <c r="AF85" s="44"/>
      <c r="AG85" s="44"/>
      <c r="AH85" s="44"/>
      <c r="AI85" s="44"/>
      <c r="AJ85" s="44"/>
      <c r="AK85" s="44"/>
      <c r="AL85" s="44"/>
      <c r="AM85" s="44"/>
      <c r="AN85" s="44"/>
      <c r="AO85" s="44"/>
      <c r="AP85" s="44"/>
      <c r="AQ85" s="44"/>
      <c r="AR85" s="44"/>
      <c r="AS85" s="44"/>
      <c r="AT85" s="44"/>
      <c r="AU85" s="44"/>
      <c r="AV85" s="44"/>
      <c r="AW85" s="44"/>
      <c r="AX85" s="44"/>
      <c r="AY85" s="44"/>
      <c r="AZ85" s="44"/>
      <c r="BA85" s="44"/>
      <c r="BB85" s="90" t="s">
        <v>75</v>
      </c>
    </row>
    <row r="86" spans="1:54" x14ac:dyDescent="0.2">
      <c r="B86" s="1" t="s">
        <v>133</v>
      </c>
      <c r="C86" s="45" t="s">
        <v>164</v>
      </c>
      <c r="G86" s="11">
        <f t="shared" ref="G86:N89" ca="1" si="54">+SUMIFS(86:86,$6:$6,G$3)</f>
        <v>0</v>
      </c>
      <c r="H86" s="11">
        <f t="shared" ca="1" si="54"/>
        <v>7.3814013771112563</v>
      </c>
      <c r="I86" s="11">
        <f t="shared" ca="1" si="54"/>
        <v>10.830884961100036</v>
      </c>
      <c r="J86" s="11">
        <f t="shared" ca="1" si="54"/>
        <v>21.0950965445648</v>
      </c>
      <c r="K86" s="11">
        <f t="shared" ca="1" si="54"/>
        <v>21.883183329376266</v>
      </c>
      <c r="L86" s="11">
        <f t="shared" ca="1" si="54"/>
        <v>22.714453175134921</v>
      </c>
      <c r="M86" s="11">
        <f t="shared" ca="1" si="54"/>
        <v>23.591491001428412</v>
      </c>
      <c r="N86" s="11">
        <f t="shared" ca="1" si="54"/>
        <v>24.517038833462514</v>
      </c>
      <c r="P86" s="97">
        <f ca="1">+IFERROR((N86/I86)^(1/5)-1,"NM")</f>
        <v>0.17749972501671718</v>
      </c>
      <c r="V86" s="46">
        <f ca="1">+SUMIFS(Segments!107:107,Segments!$3:$3,'Segments USD'!V$3)/V$9</f>
        <v>0</v>
      </c>
      <c r="W86" s="46">
        <f ca="1">+SUMIFS(Segments!107:107,Segments!$3:$3,'Segments USD'!W$3)/W$9</f>
        <v>0</v>
      </c>
      <c r="X86" s="46">
        <f ca="1">+SUMIFS(Segments!107:107,Segments!$3:$3,'Segments USD'!X$3)/X$9</f>
        <v>0</v>
      </c>
      <c r="Y86" s="46">
        <f ca="1">+SUMIFS(Segments!107:107,Segments!$3:$3,'Segments USD'!Y$3)/Y$9</f>
        <v>0</v>
      </c>
      <c r="Z86" s="46">
        <f ca="1">+SUMIFS(Segments!107:107,Segments!$3:$3,'Segments USD'!Z$3)/Z$9</f>
        <v>0</v>
      </c>
      <c r="AA86" s="46">
        <f ca="1">+SUMIFS(Segments!107:107,Segments!$3:$3,'Segments USD'!AA$3)/AA$9</f>
        <v>1.3477080531795309</v>
      </c>
      <c r="AB86" s="46">
        <f ca="1">+SUMIFS(Segments!107:107,Segments!$3:$3,'Segments USD'!AB$3)/AB$9</f>
        <v>3.306153529199825</v>
      </c>
      <c r="AC86" s="46">
        <f ca="1">+SUMIFS(Segments!107:107,Segments!$3:$3,'Segments USD'!AC$3)/AC$9</f>
        <v>2.7275397947318996</v>
      </c>
      <c r="AD86" s="46">
        <f ca="1">+SUMIFS(Segments!107:107,Segments!$3:$3,'Segments USD'!AD$3)/AD$9</f>
        <v>2.7713281384238702</v>
      </c>
      <c r="AE86" s="46">
        <f ca="1">+SUMIFS(Segments!107:107,Segments!$3:$3,'Segments USD'!AE$3)/AE$9</f>
        <v>2.6731310097515499</v>
      </c>
      <c r="AF86" s="46">
        <f ca="1">+SUMIFS(Segments!107:107,Segments!$3:$3,'Segments USD'!AF$3)/AF$9</f>
        <v>2.6864966648003072</v>
      </c>
      <c r="AG86" s="46">
        <f ca="1">+SUMIFS(Segments!107:107,Segments!$3:$3,'Segments USD'!AG$3)/AG$9</f>
        <v>2.6999291481243093</v>
      </c>
      <c r="AH86" s="46">
        <f ca="1">+SUMIFS(Segments!107:107,Segments!$3:$3,'Segments USD'!AH$3)/AH$9</f>
        <v>5.2706622053709626</v>
      </c>
      <c r="AI86" s="46">
        <f ca="1">+SUMIFS(Segments!107:107,Segments!$3:$3,'Segments USD'!AI$3)/AI$9</f>
        <v>5.2726497763874196</v>
      </c>
      <c r="AJ86" s="46">
        <f ca="1">+SUMIFS(Segments!107:107,Segments!$3:$3,'Segments USD'!AJ$3)/AJ$9</f>
        <v>5.2747679077342573</v>
      </c>
      <c r="AK86" s="46">
        <f ca="1">+SUMIFS(Segments!107:107,Segments!$3:$3,'Segments USD'!AK$3)/AK$9</f>
        <v>5.2770166550721607</v>
      </c>
      <c r="AL86" s="46">
        <f ca="1">+SUMIFS(Segments!107:107,Segments!$3:$3,'Segments USD'!AL$3)/AL$9</f>
        <v>5.4665662593368562</v>
      </c>
      <c r="AM86" s="46">
        <f ca="1">+SUMIFS(Segments!107:107,Segments!$3:$3,'Segments USD'!AM$3)/AM$9</f>
        <v>5.4692956648541244</v>
      </c>
      <c r="AN86" s="46">
        <f ca="1">+SUMIFS(Segments!107:107,Segments!$3:$3,'Segments USD'!AN$3)/AN$9</f>
        <v>5.4721605165365004</v>
      </c>
      <c r="AO86" s="46">
        <f ca="1">+SUMIFS(Segments!107:107,Segments!$3:$3,'Segments USD'!AO$3)/AO$9</f>
        <v>5.4751608886487837</v>
      </c>
      <c r="AP86" s="46">
        <f ca="1">+SUMIFS(Segments!107:107,Segments!$3:$3,'Segments USD'!AP$3)/AP$9</f>
        <v>5.6731888988846073</v>
      </c>
      <c r="AQ86" s="46">
        <f ca="1">+SUMIFS(Segments!107:107,Segments!$3:$3,'Segments USD'!AQ$3)/AQ$9</f>
        <v>5.6767114132256715</v>
      </c>
      <c r="AR86" s="46">
        <f ca="1">+SUMIFS(Segments!107:107,Segments!$3:$3,'Segments USD'!AR$3)/AR$9</f>
        <v>5.6803745274164275</v>
      </c>
      <c r="AS86" s="46">
        <f ca="1">+SUMIFS(Segments!107:107,Segments!$3:$3,'Segments USD'!AS$3)/AS$9</f>
        <v>5.6841783356082143</v>
      </c>
      <c r="AT86" s="46">
        <f ca="1">+SUMIFS(Segments!107:107,Segments!$3:$3,'Segments USD'!AT$3)/AT$9</f>
        <v>5.8911715610056801</v>
      </c>
      <c r="AU86" s="46">
        <f ca="1">+SUMIFS(Segments!107:107,Segments!$3:$3,'Segments USD'!AU$3)/AU$9</f>
        <v>5.8955416430606826</v>
      </c>
      <c r="AV86" s="46">
        <f ca="1">+SUMIFS(Segments!107:107,Segments!$3:$3,'Segments USD'!AV$3)/AV$9</f>
        <v>5.9000577625346233</v>
      </c>
      <c r="AW86" s="46">
        <f ca="1">+SUMIFS(Segments!107:107,Segments!$3:$3,'Segments USD'!AW$3)/AW$9</f>
        <v>5.9047200348274282</v>
      </c>
      <c r="AX86" s="46">
        <f ca="1">+SUMIFS(Segments!107:107,Segments!$3:$3,'Segments USD'!AX$3)/AX$9</f>
        <v>6.1211946660758487</v>
      </c>
      <c r="AY86" s="46">
        <f ca="1">+SUMIFS(Segments!107:107,Segments!$3:$3,'Segments USD'!AY$3)/AY$9</f>
        <v>6.126470153998377</v>
      </c>
      <c r="AZ86" s="46">
        <f ca="1">+SUMIFS(Segments!107:107,Segments!$3:$3,'Segments USD'!AZ$3)/AZ$9</f>
        <v>6.1318974178031347</v>
      </c>
      <c r="BA86" s="46">
        <f ca="1">+SUMIFS(Segments!107:107,Segments!$3:$3,'Segments USD'!BA$3)/BA$9</f>
        <v>6.1374765955851576</v>
      </c>
      <c r="BB86" s="8" t="s">
        <v>75</v>
      </c>
    </row>
    <row r="87" spans="1:54" s="2" customFormat="1" x14ac:dyDescent="0.2">
      <c r="B87" s="18" t="s">
        <v>307</v>
      </c>
      <c r="C87" s="45" t="s">
        <v>164</v>
      </c>
      <c r="G87" s="13">
        <f t="shared" ca="1" si="54"/>
        <v>0</v>
      </c>
      <c r="H87" s="13">
        <f t="shared" ca="1" si="54"/>
        <v>1.4492233423524035</v>
      </c>
      <c r="I87" s="13">
        <f t="shared" ca="1" si="54"/>
        <v>5.9569867286050213</v>
      </c>
      <c r="J87" s="13">
        <f t="shared" ca="1" si="54"/>
        <v>11.760516323594876</v>
      </c>
      <c r="K87" s="13">
        <f t="shared" ca="1" si="54"/>
        <v>12.36399858109759</v>
      </c>
      <c r="L87" s="13">
        <f t="shared" ca="1" si="54"/>
        <v>13.00402444276474</v>
      </c>
      <c r="M87" s="13">
        <f t="shared" ca="1" si="54"/>
        <v>13.683064780828477</v>
      </c>
      <c r="N87" s="13">
        <f t="shared" ca="1" si="54"/>
        <v>14.403760314659223</v>
      </c>
      <c r="P87" s="131">
        <f ca="1">+IFERROR((N87/I87)^(1/5)-1,"NM")</f>
        <v>0.19313572795702827</v>
      </c>
      <c r="V87" s="148">
        <f ca="1">+SUMIFS(Segments!108:108,Segments!$3:$3,'Segments USD'!V$3)/V$9</f>
        <v>0</v>
      </c>
      <c r="W87" s="148">
        <f ca="1">+SUMIFS(Segments!108:108,Segments!$3:$3,'Segments USD'!W$3)/W$9</f>
        <v>0</v>
      </c>
      <c r="X87" s="148">
        <f ca="1">+SUMIFS(Segments!108:108,Segments!$3:$3,'Segments USD'!X$3)/X$9</f>
        <v>0</v>
      </c>
      <c r="Y87" s="148">
        <f ca="1">+SUMIFS(Segments!108:108,Segments!$3:$3,'Segments USD'!Y$3)/Y$9</f>
        <v>0</v>
      </c>
      <c r="Z87" s="148">
        <f ca="1">+SUMIFS(Segments!108:108,Segments!$3:$3,'Segments USD'!Z$3)/Z$9</f>
        <v>-0.32327012809324257</v>
      </c>
      <c r="AA87" s="148">
        <f ca="1">+SUMIFS(Segments!108:108,Segments!$3:$3,'Segments USD'!AA$3)/AA$9</f>
        <v>-0.65240003086524057</v>
      </c>
      <c r="AB87" s="148">
        <f ca="1">+SUMIFS(Segments!108:108,Segments!$3:$3,'Segments USD'!AB$3)/AB$9</f>
        <v>0.72968012187205988</v>
      </c>
      <c r="AC87" s="148">
        <f ca="1">+SUMIFS(Segments!108:108,Segments!$3:$3,'Segments USD'!AC$3)/AC$9</f>
        <v>1.6952133794388267</v>
      </c>
      <c r="AD87" s="148">
        <f ca="1">+SUMIFS(Segments!108:108,Segments!$3:$3,'Segments USD'!AD$3)/AD$9</f>
        <v>1.5242304761331287</v>
      </c>
      <c r="AE87" s="148">
        <f ca="1">+SUMIFS(Segments!108:108,Segments!$3:$3,'Segments USD'!AE$3)/AE$9</f>
        <v>1.4702220553633527</v>
      </c>
      <c r="AF87" s="148">
        <f ca="1">+SUMIFS(Segments!108:108,Segments!$3:$3,'Segments USD'!AF$3)/AF$9</f>
        <v>1.4775731656401692</v>
      </c>
      <c r="AG87" s="148">
        <f ca="1">+SUMIFS(Segments!108:108,Segments!$3:$3,'Segments USD'!AG$3)/AG$9</f>
        <v>1.4849610314683703</v>
      </c>
      <c r="AH87" s="148">
        <f ca="1">+SUMIFS(Segments!108:108,Segments!$3:$3,'Segments USD'!AH$3)/AH$9</f>
        <v>2.9383941794943116</v>
      </c>
      <c r="AI87" s="148">
        <f ca="1">+SUMIFS(Segments!108:108,Segments!$3:$3,'Segments USD'!AI$3)/AI$9</f>
        <v>2.9395022503359867</v>
      </c>
      <c r="AJ87" s="148">
        <f ca="1">+SUMIFS(Segments!108:108,Segments!$3:$3,'Segments USD'!AJ$3)/AJ$9</f>
        <v>2.9406831085618488</v>
      </c>
      <c r="AK87" s="148">
        <f ca="1">+SUMIFS(Segments!108:108,Segments!$3:$3,'Segments USD'!AK$3)/AK$9</f>
        <v>2.9419367852027296</v>
      </c>
      <c r="AL87" s="148">
        <f ca="1">+SUMIFS(Segments!108:108,Segments!$3:$3,'Segments USD'!AL$3)/AL$9</f>
        <v>3.0886099365253235</v>
      </c>
      <c r="AM87" s="148">
        <f ca="1">+SUMIFS(Segments!108:108,Segments!$3:$3,'Segments USD'!AM$3)/AM$9</f>
        <v>3.0901520506425797</v>
      </c>
      <c r="AN87" s="148">
        <f ca="1">+SUMIFS(Segments!108:108,Segments!$3:$3,'Segments USD'!AN$3)/AN$9</f>
        <v>3.0917706918431227</v>
      </c>
      <c r="AO87" s="148">
        <f ca="1">+SUMIFS(Segments!108:108,Segments!$3:$3,'Segments USD'!AO$3)/AO$9</f>
        <v>3.0934659020865629</v>
      </c>
      <c r="AP87" s="148">
        <f ca="1">+SUMIFS(Segments!108:108,Segments!$3:$3,'Segments USD'!AP$3)/AP$9</f>
        <v>3.2479006446114371</v>
      </c>
      <c r="AQ87" s="148">
        <f ca="1">+SUMIFS(Segments!108:108,Segments!$3:$3,'Segments USD'!AQ$3)/AQ$9</f>
        <v>3.2499172840716963</v>
      </c>
      <c r="AR87" s="148">
        <f ca="1">+SUMIFS(Segments!108:108,Segments!$3:$3,'Segments USD'!AR$3)/AR$9</f>
        <v>3.252014416945904</v>
      </c>
      <c r="AS87" s="148">
        <f ca="1">+SUMIFS(Segments!108:108,Segments!$3:$3,'Segments USD'!AS$3)/AS$9</f>
        <v>3.2541920971357019</v>
      </c>
      <c r="AT87" s="148">
        <f ca="1">+SUMIFS(Segments!108:108,Segments!$3:$3,'Segments USD'!AT$3)/AT$9</f>
        <v>3.4168795053832941</v>
      </c>
      <c r="AU87" s="148">
        <f ca="1">+SUMIFS(Segments!108:108,Segments!$3:$3,'Segments USD'!AU$3)/AU$9</f>
        <v>3.4194141529751949</v>
      </c>
      <c r="AV87" s="148">
        <f ca="1">+SUMIFS(Segments!108:108,Segments!$3:$3,'Segments USD'!AV$3)/AV$9</f>
        <v>3.422033502270081</v>
      </c>
      <c r="AW87" s="148">
        <f ca="1">+SUMIFS(Segments!108:108,Segments!$3:$3,'Segments USD'!AW$3)/AW$9</f>
        <v>3.4247376201999074</v>
      </c>
      <c r="AX87" s="148">
        <f ca="1">+SUMIFS(Segments!108:108,Segments!$3:$3,'Segments USD'!AX$3)/AX$9</f>
        <v>3.5962018663195598</v>
      </c>
      <c r="AY87" s="148">
        <f ca="1">+SUMIFS(Segments!108:108,Segments!$3:$3,'Segments USD'!AY$3)/AY$9</f>
        <v>3.5993012154740454</v>
      </c>
      <c r="AZ87" s="148">
        <f ca="1">+SUMIFS(Segments!108:108,Segments!$3:$3,'Segments USD'!AZ$3)/AZ$9</f>
        <v>3.6024897329593406</v>
      </c>
      <c r="BA87" s="148">
        <f ca="1">+SUMIFS(Segments!108:108,Segments!$3:$3,'Segments USD'!BA$3)/BA$9</f>
        <v>3.6057674999062788</v>
      </c>
      <c r="BB87" s="83" t="s">
        <v>75</v>
      </c>
    </row>
    <row r="88" spans="1:54" x14ac:dyDescent="0.2">
      <c r="B88" s="1" t="s">
        <v>304</v>
      </c>
      <c r="C88" s="45" t="s">
        <v>164</v>
      </c>
      <c r="G88" s="11">
        <f t="shared" ca="1" si="54"/>
        <v>0</v>
      </c>
      <c r="H88" s="11">
        <f t="shared" ca="1" si="54"/>
        <v>-0.36669975311901204</v>
      </c>
      <c r="I88" s="11">
        <f t="shared" ca="1" si="54"/>
        <v>-0.52372421678079961</v>
      </c>
      <c r="J88" s="11">
        <f t="shared" ca="1" si="54"/>
        <v>-0.94084309432605295</v>
      </c>
      <c r="K88" s="11">
        <f t="shared" ca="1" si="54"/>
        <v>-0.93674345626392985</v>
      </c>
      <c r="L88" s="11">
        <f t="shared" ca="1" si="54"/>
        <v>-0.93185729089046299</v>
      </c>
      <c r="M88" s="11">
        <f t="shared" ca="1" si="54"/>
        <v>-0.92624142030751333</v>
      </c>
      <c r="N88" s="11">
        <f t="shared" ca="1" si="54"/>
        <v>-0.92273669362485866</v>
      </c>
      <c r="P88" s="97">
        <f ca="1">+IFERROR((N88/I88)^(1/5)-1,"NM")</f>
        <v>0.11994069824269471</v>
      </c>
      <c r="V88" s="46">
        <f ca="1">+SUMIFS(Segments!109:109,Segments!$3:$3,'Segments USD'!V$3)/V$9</f>
        <v>0</v>
      </c>
      <c r="W88" s="46">
        <f ca="1">+SUMIFS(Segments!109:109,Segments!$3:$3,'Segments USD'!W$3)/W$9</f>
        <v>0</v>
      </c>
      <c r="X88" s="46">
        <f ca="1">+SUMIFS(Segments!109:109,Segments!$3:$3,'Segments USD'!X$3)/X$9</f>
        <v>0</v>
      </c>
      <c r="Y88" s="46">
        <f ca="1">+SUMIFS(Segments!109:109,Segments!$3:$3,'Segments USD'!Y$3)/Y$9</f>
        <v>0</v>
      </c>
      <c r="Z88" s="46">
        <f ca="1">+SUMIFS(Segments!109:109,Segments!$3:$3,'Segments USD'!Z$3)/Z$9</f>
        <v>0</v>
      </c>
      <c r="AA88" s="46">
        <f ca="1">+SUMIFS(Segments!109:109,Segments!$3:$3,'Segments USD'!AA$3)/AA$9</f>
        <v>-5.4341096629619078E-2</v>
      </c>
      <c r="AB88" s="46">
        <f ca="1">+SUMIFS(Segments!109:109,Segments!$3:$3,'Segments USD'!AB$3)/AB$9</f>
        <v>-0.14592563267521774</v>
      </c>
      <c r="AC88" s="46">
        <f ca="1">+SUMIFS(Segments!109:109,Segments!$3:$3,'Segments USD'!AC$3)/AC$9</f>
        <v>-0.16643302381417524</v>
      </c>
      <c r="AD88" s="46">
        <f ca="1">+SUMIFS(Segments!109:109,Segments!$3:$3,'Segments USD'!AD$3)/AD$9</f>
        <v>-0.14821223935777328</v>
      </c>
      <c r="AE88" s="46">
        <f ca="1">+SUMIFS(Segments!109:109,Segments!$3:$3,'Segments USD'!AE$3)/AE$9</f>
        <v>-0.10846438442574287</v>
      </c>
      <c r="AF88" s="46">
        <f ca="1">+SUMIFS(Segments!109:109,Segments!$3:$3,'Segments USD'!AF$3)/AF$9</f>
        <v>-0.11167939258266703</v>
      </c>
      <c r="AG88" s="46">
        <f ca="1">+SUMIFS(Segments!109:109,Segments!$3:$3,'Segments USD'!AG$3)/AG$9</f>
        <v>-0.15536820041461641</v>
      </c>
      <c r="AH88" s="46">
        <f ca="1">+SUMIFS(Segments!109:109,Segments!$3:$3,'Segments USD'!AH$3)/AH$9</f>
        <v>-0.26040597185277659</v>
      </c>
      <c r="AI88" s="46">
        <f ca="1">+SUMIFS(Segments!109:109,Segments!$3:$3,'Segments USD'!AI$3)/AI$9</f>
        <v>-0.19764014634372992</v>
      </c>
      <c r="AJ88" s="46">
        <f ca="1">+SUMIFS(Segments!109:109,Segments!$3:$3,'Segments USD'!AJ$3)/AJ$9</f>
        <v>-0.20253570463028026</v>
      </c>
      <c r="AK88" s="46">
        <f ca="1">+SUMIFS(Segments!109:109,Segments!$3:$3,'Segments USD'!AK$3)/AK$9</f>
        <v>-0.28026127149926616</v>
      </c>
      <c r="AL88" s="46">
        <f ca="1">+SUMIFS(Segments!109:109,Segments!$3:$3,'Segments USD'!AL$3)/AL$9</f>
        <v>-0.26009365309125182</v>
      </c>
      <c r="AM88" s="46">
        <f ca="1">+SUMIFS(Segments!109:109,Segments!$3:$3,'Segments USD'!AM$3)/AM$9</f>
        <v>-0.19560419251384331</v>
      </c>
      <c r="AN88" s="46">
        <f ca="1">+SUMIFS(Segments!109:109,Segments!$3:$3,'Segments USD'!AN$3)/AN$9</f>
        <v>-0.20051896802266209</v>
      </c>
      <c r="AO88" s="46">
        <f ca="1">+SUMIFS(Segments!109:109,Segments!$3:$3,'Segments USD'!AO$3)/AO$9</f>
        <v>-0.28052664263617261</v>
      </c>
      <c r="AP88" s="46">
        <f ca="1">+SUMIFS(Segments!109:109,Segments!$3:$3,'Segments USD'!AP$3)/AP$9</f>
        <v>-0.25953510431183807</v>
      </c>
      <c r="AQ88" s="46">
        <f ca="1">+SUMIFS(Segments!109:109,Segments!$3:$3,'Segments USD'!AQ$3)/AQ$9</f>
        <v>-0.19344016727565413</v>
      </c>
      <c r="AR88" s="46">
        <f ca="1">+SUMIFS(Segments!109:109,Segments!$3:$3,'Segments USD'!AR$3)/AR$9</f>
        <v>-0.1983638046472293</v>
      </c>
      <c r="AS88" s="46">
        <f ca="1">+SUMIFS(Segments!109:109,Segments!$3:$3,'Segments USD'!AS$3)/AS$9</f>
        <v>-0.28051821465574145</v>
      </c>
      <c r="AT88" s="46">
        <f ca="1">+SUMIFS(Segments!109:109,Segments!$3:$3,'Segments USD'!AT$3)/AT$9</f>
        <v>-0.25874233988806383</v>
      </c>
      <c r="AU88" s="46">
        <f ca="1">+SUMIFS(Segments!109:109,Segments!$3:$3,'Segments USD'!AU$3)/AU$9</f>
        <v>-0.19116530714879401</v>
      </c>
      <c r="AV88" s="46">
        <f ca="1">+SUMIFS(Segments!109:109,Segments!$3:$3,'Segments USD'!AV$3)/AV$9</f>
        <v>-0.19608812317662516</v>
      </c>
      <c r="AW88" s="46">
        <f ca="1">+SUMIFS(Segments!109:109,Segments!$3:$3,'Segments USD'!AW$3)/AW$9</f>
        <v>-0.28024565009403035</v>
      </c>
      <c r="AX88" s="46">
        <f ca="1">+SUMIFS(Segments!109:109,Segments!$3:$3,'Segments USD'!AX$3)/AX$9</f>
        <v>-0.25845760298248849</v>
      </c>
      <c r="AY88" s="46">
        <f ca="1">+SUMIFS(Segments!109:109,Segments!$3:$3,'Segments USD'!AY$3)/AY$9</f>
        <v>-0.18943109244751957</v>
      </c>
      <c r="AZ88" s="46">
        <f ca="1">+SUMIFS(Segments!109:109,Segments!$3:$3,'Segments USD'!AZ$3)/AZ$9</f>
        <v>-0.19436347062470336</v>
      </c>
      <c r="BA88" s="46">
        <f ca="1">+SUMIFS(Segments!109:109,Segments!$3:$3,'Segments USD'!BA$3)/BA$9</f>
        <v>-0.28048452757014719</v>
      </c>
      <c r="BB88" s="8" t="s">
        <v>75</v>
      </c>
    </row>
    <row r="89" spans="1:54" x14ac:dyDescent="0.2">
      <c r="B89" s="18" t="s">
        <v>306</v>
      </c>
      <c r="C89" s="45" t="s">
        <v>164</v>
      </c>
      <c r="G89" s="13">
        <f t="shared" ca="1" si="54"/>
        <v>0</v>
      </c>
      <c r="H89" s="13">
        <f t="shared" ca="1" si="54"/>
        <v>1.0825235892333911</v>
      </c>
      <c r="I89" s="13">
        <f t="shared" ca="1" si="54"/>
        <v>5.4332625118242213</v>
      </c>
      <c r="J89" s="13">
        <f t="shared" ca="1" si="54"/>
        <v>10.819673229268822</v>
      </c>
      <c r="K89" s="13">
        <f t="shared" ca="1" si="54"/>
        <v>11.427255124833659</v>
      </c>
      <c r="L89" s="13">
        <f t="shared" ca="1" si="54"/>
        <v>12.072167151874277</v>
      </c>
      <c r="M89" s="13">
        <f t="shared" ca="1" si="54"/>
        <v>12.756823360520963</v>
      </c>
      <c r="N89" s="13">
        <f t="shared" ca="1" si="54"/>
        <v>13.481023621034366</v>
      </c>
      <c r="P89" s="131">
        <f ca="1">+IFERROR((N89/I89)^(1/5)-1,"NM")</f>
        <v>0.19931270981121663</v>
      </c>
      <c r="V89" s="148">
        <f ca="1">+SUMIFS(Segments!110:110,Segments!$3:$3,'Segments USD'!V$3)/V$9</f>
        <v>0</v>
      </c>
      <c r="W89" s="148">
        <f ca="1">+SUMIFS(Segments!110:110,Segments!$3:$3,'Segments USD'!W$3)/W$9</f>
        <v>0</v>
      </c>
      <c r="X89" s="148">
        <f ca="1">+SUMIFS(Segments!110:110,Segments!$3:$3,'Segments USD'!X$3)/X$9</f>
        <v>0</v>
      </c>
      <c r="Y89" s="148">
        <f ca="1">+SUMIFS(Segments!110:110,Segments!$3:$3,'Segments USD'!Y$3)/Y$9</f>
        <v>0</v>
      </c>
      <c r="Z89" s="148">
        <f ca="1">+SUMIFS(Segments!110:110,Segments!$3:$3,'Segments USD'!Z$3)/Z$9</f>
        <v>-0.32327012809324257</v>
      </c>
      <c r="AA89" s="148">
        <f ca="1">+SUMIFS(Segments!110:110,Segments!$3:$3,'Segments USD'!AA$3)/AA$9</f>
        <v>-0.70674112749485973</v>
      </c>
      <c r="AB89" s="148">
        <f ca="1">+SUMIFS(Segments!110:110,Segments!$3:$3,'Segments USD'!AB$3)/AB$9</f>
        <v>0.58375448919684214</v>
      </c>
      <c r="AC89" s="148">
        <f ca="1">+SUMIFS(Segments!110:110,Segments!$3:$3,'Segments USD'!AC$3)/AC$9</f>
        <v>1.5287803556246513</v>
      </c>
      <c r="AD89" s="148">
        <f ca="1">+SUMIFS(Segments!110:110,Segments!$3:$3,'Segments USD'!AD$3)/AD$9</f>
        <v>1.3760182367753555</v>
      </c>
      <c r="AE89" s="148">
        <f ca="1">+SUMIFS(Segments!110:110,Segments!$3:$3,'Segments USD'!AE$3)/AE$9</f>
        <v>1.36175767093761</v>
      </c>
      <c r="AF89" s="148">
        <f ca="1">+SUMIFS(Segments!110:110,Segments!$3:$3,'Segments USD'!AF$3)/AF$9</f>
        <v>1.365893773057502</v>
      </c>
      <c r="AG89" s="148">
        <f ca="1">+SUMIFS(Segments!110:110,Segments!$3:$3,'Segments USD'!AG$3)/AG$9</f>
        <v>1.3295928310537539</v>
      </c>
      <c r="AH89" s="148">
        <f ca="1">+SUMIFS(Segments!110:110,Segments!$3:$3,'Segments USD'!AH$3)/AH$9</f>
        <v>2.6779882076415351</v>
      </c>
      <c r="AI89" s="148">
        <f ca="1">+SUMIFS(Segments!110:110,Segments!$3:$3,'Segments USD'!AI$3)/AI$9</f>
        <v>2.7418621039922568</v>
      </c>
      <c r="AJ89" s="148">
        <f ca="1">+SUMIFS(Segments!110:110,Segments!$3:$3,'Segments USD'!AJ$3)/AJ$9</f>
        <v>2.7381474039315683</v>
      </c>
      <c r="AK89" s="148">
        <f ca="1">+SUMIFS(Segments!110:110,Segments!$3:$3,'Segments USD'!AK$3)/AK$9</f>
        <v>2.6616755137034636</v>
      </c>
      <c r="AL89" s="148">
        <f ca="1">+SUMIFS(Segments!110:110,Segments!$3:$3,'Segments USD'!AL$3)/AL$9</f>
        <v>2.8285162834340718</v>
      </c>
      <c r="AM89" s="148">
        <f ca="1">+SUMIFS(Segments!110:110,Segments!$3:$3,'Segments USD'!AM$3)/AM$9</f>
        <v>2.8945478581287358</v>
      </c>
      <c r="AN89" s="148">
        <f ca="1">+SUMIFS(Segments!110:110,Segments!$3:$3,'Segments USD'!AN$3)/AN$9</f>
        <v>2.8912517238204605</v>
      </c>
      <c r="AO89" s="148">
        <f ca="1">+SUMIFS(Segments!110:110,Segments!$3:$3,'Segments USD'!AO$3)/AO$9</f>
        <v>2.8129392594503901</v>
      </c>
      <c r="AP89" s="148">
        <f ca="1">+SUMIFS(Segments!110:110,Segments!$3:$3,'Segments USD'!AP$3)/AP$9</f>
        <v>2.9883655402995992</v>
      </c>
      <c r="AQ89" s="148">
        <f ca="1">+SUMIFS(Segments!110:110,Segments!$3:$3,'Segments USD'!AQ$3)/AQ$9</f>
        <v>3.0564771167960423</v>
      </c>
      <c r="AR89" s="148">
        <f ca="1">+SUMIFS(Segments!110:110,Segments!$3:$3,'Segments USD'!AR$3)/AR$9</f>
        <v>3.0536506122986746</v>
      </c>
      <c r="AS89" s="148">
        <f ca="1">+SUMIFS(Segments!110:110,Segments!$3:$3,'Segments USD'!AS$3)/AS$9</f>
        <v>2.9736738824799605</v>
      </c>
      <c r="AT89" s="148">
        <f ca="1">+SUMIFS(Segments!110:110,Segments!$3:$3,'Segments USD'!AT$3)/AT$9</f>
        <v>3.1581371654952299</v>
      </c>
      <c r="AU89" s="148">
        <f ca="1">+SUMIFS(Segments!110:110,Segments!$3:$3,'Segments USD'!AU$3)/AU$9</f>
        <v>3.2282488458264011</v>
      </c>
      <c r="AV89" s="148">
        <f ca="1">+SUMIFS(Segments!110:110,Segments!$3:$3,'Segments USD'!AV$3)/AV$9</f>
        <v>3.2259453790934556</v>
      </c>
      <c r="AW89" s="148">
        <f ca="1">+SUMIFS(Segments!110:110,Segments!$3:$3,'Segments USD'!AW$3)/AW$9</f>
        <v>3.1444919701058773</v>
      </c>
      <c r="AX89" s="148">
        <f ca="1">+SUMIFS(Segments!110:110,Segments!$3:$3,'Segments USD'!AX$3)/AX$9</f>
        <v>3.3377442633370715</v>
      </c>
      <c r="AY89" s="148">
        <f ca="1">+SUMIFS(Segments!110:110,Segments!$3:$3,'Segments USD'!AY$3)/AY$9</f>
        <v>3.409870123026526</v>
      </c>
      <c r="AZ89" s="148">
        <f ca="1">+SUMIFS(Segments!110:110,Segments!$3:$3,'Segments USD'!AZ$3)/AZ$9</f>
        <v>3.4081262623346373</v>
      </c>
      <c r="BA89" s="148">
        <f ca="1">+SUMIFS(Segments!110:110,Segments!$3:$3,'Segments USD'!BA$3)/BA$9</f>
        <v>3.3252829723361312</v>
      </c>
      <c r="BB89" s="8" t="s">
        <v>75</v>
      </c>
    </row>
    <row r="90" spans="1:54" x14ac:dyDescent="0.2">
      <c r="BB90" s="8" t="s">
        <v>75</v>
      </c>
    </row>
    <row r="91" spans="1:54" s="25" customFormat="1" x14ac:dyDescent="0.2">
      <c r="B91" s="33" t="s">
        <v>305</v>
      </c>
      <c r="C91" s="45" t="s">
        <v>177</v>
      </c>
      <c r="G91" s="70">
        <f t="shared" ref="G91:N91" ca="1" si="55">+G86/G$34</f>
        <v>0</v>
      </c>
      <c r="H91" s="70">
        <f t="shared" ca="1" si="55"/>
        <v>3.0656578448630633E-2</v>
      </c>
      <c r="I91" s="70">
        <f t="shared" ca="1" si="55"/>
        <v>4.0918982922470648E-2</v>
      </c>
      <c r="J91" s="70">
        <f t="shared" ca="1" si="55"/>
        <v>7.2867585862679718E-2</v>
      </c>
      <c r="K91" s="70">
        <f t="shared" ca="1" si="55"/>
        <v>7.1047135346230403E-2</v>
      </c>
      <c r="L91" s="70">
        <f t="shared" ca="1" si="55"/>
        <v>6.9210948215197299E-2</v>
      </c>
      <c r="M91" s="70">
        <f t="shared" ca="1" si="55"/>
        <v>6.7366360652773266E-2</v>
      </c>
      <c r="N91" s="70">
        <f t="shared" ca="1" si="55"/>
        <v>6.5725067172325471E-2</v>
      </c>
      <c r="V91" s="70">
        <f ca="1">+V86/V$34</f>
        <v>0</v>
      </c>
      <c r="W91" s="70">
        <f t="shared" ref="W91:BA91" ca="1" si="56">+W86/W$34</f>
        <v>0</v>
      </c>
      <c r="X91" s="70">
        <f t="shared" ca="1" si="56"/>
        <v>0</v>
      </c>
      <c r="Y91" s="70">
        <f t="shared" ca="1" si="56"/>
        <v>0</v>
      </c>
      <c r="Z91" s="70">
        <f t="shared" ca="1" si="56"/>
        <v>0</v>
      </c>
      <c r="AA91" s="70">
        <f t="shared" ca="1" si="56"/>
        <v>2.0796174603083976E-2</v>
      </c>
      <c r="AB91" s="70">
        <f t="shared" ca="1" si="56"/>
        <v>4.8765961158220739E-2</v>
      </c>
      <c r="AC91" s="70">
        <f t="shared" ca="1" si="56"/>
        <v>4.9602193501964896E-2</v>
      </c>
      <c r="AD91" s="70">
        <f t="shared" ca="1" si="56"/>
        <v>4.5650372662159752E-2</v>
      </c>
      <c r="AE91" s="70">
        <f t="shared" ca="1" si="56"/>
        <v>3.498134430415404E-2</v>
      </c>
      <c r="AF91" s="70">
        <f t="shared" ca="1" si="56"/>
        <v>3.6197426457938643E-2</v>
      </c>
      <c r="AG91" s="70">
        <f t="shared" ca="1" si="56"/>
        <v>5.0608340751291302E-2</v>
      </c>
      <c r="AH91" s="70">
        <f t="shared" ca="1" si="56"/>
        <v>8.196583653892163E-2</v>
      </c>
      <c r="AI91" s="70">
        <f t="shared" ca="1" si="56"/>
        <v>6.2519056433089359E-2</v>
      </c>
      <c r="AJ91" s="70">
        <f t="shared" ca="1" si="56"/>
        <v>6.4386401776344193E-2</v>
      </c>
      <c r="AK91" s="70">
        <f t="shared" ca="1" si="56"/>
        <v>8.9538736171899572E-2</v>
      </c>
      <c r="AL91" s="70">
        <f t="shared" ca="1" si="56"/>
        <v>8.0297051682247864E-2</v>
      </c>
      <c r="AM91" s="70">
        <f t="shared" ca="1" si="56"/>
        <v>6.06880685486266E-2</v>
      </c>
      <c r="AN91" s="70">
        <f t="shared" ca="1" si="56"/>
        <v>6.2522441619066005E-2</v>
      </c>
      <c r="AO91" s="70">
        <f t="shared" ca="1" si="56"/>
        <v>8.7904254470492812E-2</v>
      </c>
      <c r="AP91" s="70">
        <f t="shared" ca="1" si="56"/>
        <v>7.8587570283395719E-2</v>
      </c>
      <c r="AQ91" s="70">
        <f t="shared" ca="1" si="56"/>
        <v>5.8865349204300553E-2</v>
      </c>
      <c r="AR91" s="70">
        <f t="shared" ca="1" si="56"/>
        <v>6.0663967065060047E-2</v>
      </c>
      <c r="AS91" s="70">
        <f t="shared" ca="1" si="56"/>
        <v>8.62153818183055E-2</v>
      </c>
      <c r="AT91" s="70">
        <f t="shared" ca="1" si="56"/>
        <v>7.6844566276774981E-2</v>
      </c>
      <c r="AU91" s="70">
        <f t="shared" ca="1" si="56"/>
        <v>5.7057147174736929E-2</v>
      </c>
      <c r="AV91" s="70">
        <f t="shared" ca="1" si="56"/>
        <v>5.8817637474982018E-2</v>
      </c>
      <c r="AW91" s="70">
        <f t="shared" ca="1" si="56"/>
        <v>8.4479333493351155E-2</v>
      </c>
      <c r="AX91" s="70">
        <f t="shared" ca="1" si="56"/>
        <v>7.5287501260157666E-2</v>
      </c>
      <c r="AY91" s="70">
        <f t="shared" ca="1" si="56"/>
        <v>5.5454928170165674E-2</v>
      </c>
      <c r="AZ91" s="70">
        <f t="shared" ca="1" si="56"/>
        <v>5.718193409670027E-2</v>
      </c>
      <c r="BA91" s="70">
        <f t="shared" ca="1" si="56"/>
        <v>8.2929379612175738E-2</v>
      </c>
      <c r="BB91" s="88" t="s">
        <v>75</v>
      </c>
    </row>
    <row r="92" spans="1:54" x14ac:dyDescent="0.2">
      <c r="B92" s="33" t="s">
        <v>308</v>
      </c>
      <c r="C92" s="45" t="s">
        <v>177</v>
      </c>
      <c r="G92" s="70">
        <f t="shared" ref="G92:N92" ca="1" si="57">+G89/G$52</f>
        <v>0</v>
      </c>
      <c r="H92" s="70">
        <f t="shared" ca="1" si="57"/>
        <v>8.8514247796518501E-3</v>
      </c>
      <c r="I92" s="70">
        <f t="shared" ca="1" si="57"/>
        <v>3.8911137497202611E-2</v>
      </c>
      <c r="J92" s="70">
        <f t="shared" ca="1" si="57"/>
        <v>6.7199511057951064E-2</v>
      </c>
      <c r="K92" s="70">
        <f t="shared" ca="1" si="57"/>
        <v>6.7825203118773381E-2</v>
      </c>
      <c r="L92" s="70">
        <f t="shared" ca="1" si="57"/>
        <v>6.5063809009776721E-2</v>
      </c>
      <c r="M92" s="70">
        <f t="shared" ca="1" si="57"/>
        <v>6.3579462500733638E-2</v>
      </c>
      <c r="N92" s="70">
        <f t="shared" ca="1" si="57"/>
        <v>6.2352724994850138E-2</v>
      </c>
      <c r="V92" s="70">
        <f ca="1">+V89/V$52</f>
        <v>0</v>
      </c>
      <c r="W92" s="70">
        <f t="shared" ref="W92:BA92" ca="1" si="58">+W89/W$52</f>
        <v>0</v>
      </c>
      <c r="X92" s="70">
        <f t="shared" ca="1" si="58"/>
        <v>0</v>
      </c>
      <c r="Y92" s="70">
        <f t="shared" ca="1" si="58"/>
        <v>0</v>
      </c>
      <c r="Z92" s="70">
        <f t="shared" ca="1" si="58"/>
        <v>-1.3856425151252792E-2</v>
      </c>
      <c r="AA92" s="70">
        <f t="shared" ca="1" si="58"/>
        <v>-2.0325375643723428E-2</v>
      </c>
      <c r="AB92" s="70">
        <f t="shared" ca="1" si="58"/>
        <v>1.5547812065528181E-2</v>
      </c>
      <c r="AC92" s="70">
        <f t="shared" ca="1" si="58"/>
        <v>5.7360280279277275E-2</v>
      </c>
      <c r="AD92" s="70">
        <f t="shared" ca="1" si="58"/>
        <v>4.5892435205577488E-2</v>
      </c>
      <c r="AE92" s="70">
        <f t="shared" ca="1" si="58"/>
        <v>3.1176747374494808E-2</v>
      </c>
      <c r="AF92" s="70">
        <f t="shared" ca="1" si="58"/>
        <v>3.1805131335814522E-2</v>
      </c>
      <c r="AG92" s="70">
        <f t="shared" ca="1" si="58"/>
        <v>5.7746391969276618E-2</v>
      </c>
      <c r="AH92" s="70">
        <f t="shared" ca="1" si="58"/>
        <v>8.2471548228109842E-2</v>
      </c>
      <c r="AI92" s="70">
        <f t="shared" ca="1" si="58"/>
        <v>5.3007872638364838E-2</v>
      </c>
      <c r="AJ92" s="70">
        <f t="shared" ca="1" si="58"/>
        <v>5.5604936065546007E-2</v>
      </c>
      <c r="AK92" s="70">
        <f t="shared" ca="1" si="58"/>
        <v>9.6549094817836925E-2</v>
      </c>
      <c r="AL92" s="70">
        <f t="shared" ca="1" si="58"/>
        <v>8.5171750880526712E-2</v>
      </c>
      <c r="AM92" s="70">
        <f t="shared" ca="1" si="58"/>
        <v>5.2470174571531886E-2</v>
      </c>
      <c r="AN92" s="70">
        <f t="shared" ca="1" si="58"/>
        <v>5.5726835875715607E-2</v>
      </c>
      <c r="AO92" s="70">
        <f t="shared" ca="1" si="58"/>
        <v>9.9667486752310172E-2</v>
      </c>
      <c r="AP92" s="70">
        <f t="shared" ca="1" si="58"/>
        <v>8.208471253197723E-2</v>
      </c>
      <c r="AQ92" s="70">
        <f t="shared" ca="1" si="58"/>
        <v>5.0291447238009226E-2</v>
      </c>
      <c r="AR92" s="70">
        <f t="shared" ca="1" si="58"/>
        <v>5.3452427410845008E-2</v>
      </c>
      <c r="AS92" s="70">
        <f t="shared" ca="1" si="58"/>
        <v>9.5206414741817152E-2</v>
      </c>
      <c r="AT92" s="70">
        <f t="shared" ca="1" si="58"/>
        <v>8.0638902661782363E-2</v>
      </c>
      <c r="AU92" s="70">
        <f t="shared" ca="1" si="58"/>
        <v>4.8980762501253362E-2</v>
      </c>
      <c r="AV92" s="70">
        <f t="shared" ca="1" si="58"/>
        <v>5.2021991386523782E-2</v>
      </c>
      <c r="AW92" s="70">
        <f t="shared" ca="1" si="58"/>
        <v>9.3697214956861355E-2</v>
      </c>
      <c r="AX92" s="70">
        <f t="shared" ca="1" si="58"/>
        <v>7.947288788818839E-2</v>
      </c>
      <c r="AY92" s="70">
        <f t="shared" ca="1" si="58"/>
        <v>4.7887567948016546E-2</v>
      </c>
      <c r="AZ92" s="70">
        <f t="shared" ca="1" si="58"/>
        <v>5.0831542007727437E-2</v>
      </c>
      <c r="BA92" s="70">
        <f t="shared" ca="1" si="58"/>
        <v>9.248689252441987E-2</v>
      </c>
      <c r="BB92" s="8" t="s">
        <v>75</v>
      </c>
    </row>
    <row r="93" spans="1:54" x14ac:dyDescent="0.2">
      <c r="B93" s="18"/>
      <c r="BB93" s="8" t="s">
        <v>75</v>
      </c>
    </row>
    <row r="94" spans="1:54" s="35" customFormat="1" x14ac:dyDescent="0.2">
      <c r="A94" s="1" t="s">
        <v>75</v>
      </c>
      <c r="B94" s="36" t="s">
        <v>146</v>
      </c>
      <c r="C94" s="36"/>
      <c r="D94" s="36"/>
      <c r="E94" s="36"/>
      <c r="F94" s="36"/>
      <c r="G94" s="37"/>
      <c r="H94" s="37"/>
      <c r="I94" s="37"/>
      <c r="J94" s="37"/>
      <c r="K94" s="37"/>
      <c r="L94" s="37"/>
      <c r="M94" s="37"/>
      <c r="N94" s="37"/>
      <c r="R94" s="36"/>
      <c r="S94" s="36"/>
      <c r="T94" s="36"/>
      <c r="U94" s="36"/>
      <c r="V94" s="38"/>
      <c r="W94" s="38"/>
      <c r="X94" s="38"/>
      <c r="Y94" s="38"/>
      <c r="Z94" s="38"/>
      <c r="AA94" s="38"/>
      <c r="AB94" s="38"/>
      <c r="AC94" s="38"/>
      <c r="BB94" s="90" t="s">
        <v>75</v>
      </c>
    </row>
    <row r="95" spans="1:54" s="2" customFormat="1" x14ac:dyDescent="0.2">
      <c r="B95" s="2" t="s">
        <v>132</v>
      </c>
      <c r="C95" s="45" t="s">
        <v>164</v>
      </c>
      <c r="G95" s="13">
        <f t="shared" ref="G95:H101" ca="1" si="59">+SUMIFS(95:95,$6:$6,G$3)</f>
        <v>0</v>
      </c>
      <c r="H95" s="13">
        <f t="shared" ca="1" si="59"/>
        <v>0</v>
      </c>
      <c r="I95" s="13">
        <f t="shared" ref="I95:N101" si="60">+SUMIFS(95:95,$6:$6,I$3)</f>
        <v>0</v>
      </c>
      <c r="J95" s="13">
        <f t="shared" si="60"/>
        <v>0</v>
      </c>
      <c r="K95" s="13">
        <f t="shared" si="60"/>
        <v>0</v>
      </c>
      <c r="L95" s="13">
        <f t="shared" si="60"/>
        <v>0</v>
      </c>
      <c r="M95" s="13">
        <f t="shared" si="60"/>
        <v>0</v>
      </c>
      <c r="N95" s="13">
        <f t="shared" si="60"/>
        <v>0</v>
      </c>
      <c r="O95" s="40"/>
      <c r="P95" s="40"/>
      <c r="Q95" s="40"/>
      <c r="V95" s="148">
        <f ca="1">+SUMIFS(Segments!116:116,Segments!$3:$3,'Segments USD'!V$3)/V$9</f>
        <v>0</v>
      </c>
      <c r="W95" s="148">
        <f ca="1">+SUMIFS(Segments!116:116,Segments!$3:$3,'Segments USD'!W$3)/W$9</f>
        <v>0</v>
      </c>
      <c r="X95" s="148">
        <f ca="1">+SUMIFS(Segments!116:116,Segments!$3:$3,'Segments USD'!X$3)/X$9</f>
        <v>0</v>
      </c>
      <c r="Y95" s="148">
        <f ca="1">+SUMIFS(Segments!116:116,Segments!$3:$3,'Segments USD'!Y$3)/Y$9</f>
        <v>0</v>
      </c>
      <c r="Z95" s="148">
        <f ca="1">+SUMIFS(Segments!116:116,Segments!$3:$3,'Segments USD'!Z$3)/Z$9</f>
        <v>0</v>
      </c>
      <c r="AA95" s="148">
        <f ca="1">+SUMIFS(Segments!116:116,Segments!$3:$3,'Segments USD'!AA$3)/AA$9</f>
        <v>0</v>
      </c>
      <c r="AB95" s="148">
        <f ca="1">+SUMIFS(Segments!116:116,Segments!$3:$3,'Segments USD'!AB$3)/AB$9</f>
        <v>0</v>
      </c>
      <c r="AC95" s="148">
        <f ca="1">+SUMIFS(Segments!116:116,Segments!$3:$3,'Segments USD'!AC$3)/AC$9</f>
        <v>0</v>
      </c>
      <c r="BB95" s="83" t="s">
        <v>75</v>
      </c>
    </row>
    <row r="96" spans="1:54" s="2" customFormat="1" x14ac:dyDescent="0.2">
      <c r="B96" s="2" t="s">
        <v>136</v>
      </c>
      <c r="C96" s="45" t="s">
        <v>164</v>
      </c>
      <c r="G96" s="13">
        <f t="shared" ca="1" si="59"/>
        <v>0</v>
      </c>
      <c r="H96" s="13">
        <f t="shared" ca="1" si="59"/>
        <v>0</v>
      </c>
      <c r="I96" s="13">
        <f t="shared" si="60"/>
        <v>0</v>
      </c>
      <c r="J96" s="13">
        <f t="shared" si="60"/>
        <v>0</v>
      </c>
      <c r="K96" s="13">
        <f t="shared" si="60"/>
        <v>0</v>
      </c>
      <c r="L96" s="13">
        <f t="shared" si="60"/>
        <v>0</v>
      </c>
      <c r="M96" s="13">
        <f t="shared" si="60"/>
        <v>0</v>
      </c>
      <c r="N96" s="13">
        <f t="shared" si="60"/>
        <v>0</v>
      </c>
      <c r="O96" s="40"/>
      <c r="P96" s="40"/>
      <c r="Q96" s="40"/>
      <c r="V96" s="148">
        <f ca="1">+SUMIFS(Segments!117:117,Segments!$3:$3,'Segments USD'!V$3)/V$9</f>
        <v>0</v>
      </c>
      <c r="W96" s="148">
        <f ca="1">+SUMIFS(Segments!117:117,Segments!$3:$3,'Segments USD'!W$3)/W$9</f>
        <v>0</v>
      </c>
      <c r="X96" s="148">
        <f ca="1">+SUMIFS(Segments!117:117,Segments!$3:$3,'Segments USD'!X$3)/X$9</f>
        <v>0</v>
      </c>
      <c r="Y96" s="148">
        <f ca="1">+SUMIFS(Segments!117:117,Segments!$3:$3,'Segments USD'!Y$3)/Y$9</f>
        <v>0</v>
      </c>
      <c r="Z96" s="148">
        <f ca="1">+SUMIFS(Segments!117:117,Segments!$3:$3,'Segments USD'!Z$3)/Z$9</f>
        <v>0</v>
      </c>
      <c r="AA96" s="148">
        <f ca="1">+SUMIFS(Segments!117:117,Segments!$3:$3,'Segments USD'!AA$3)/AA$9</f>
        <v>0</v>
      </c>
      <c r="AB96" s="148">
        <f ca="1">+SUMIFS(Segments!117:117,Segments!$3:$3,'Segments USD'!AB$3)/AB$9</f>
        <v>0</v>
      </c>
      <c r="AC96" s="148">
        <f ca="1">+SUMIFS(Segments!117:117,Segments!$3:$3,'Segments USD'!AC$3)/AC$9</f>
        <v>0</v>
      </c>
      <c r="BB96" s="83" t="s">
        <v>75</v>
      </c>
    </row>
    <row r="97" spans="1:54" x14ac:dyDescent="0.2">
      <c r="B97" s="1" t="s">
        <v>137</v>
      </c>
      <c r="C97" s="45" t="s">
        <v>164</v>
      </c>
      <c r="G97" s="11">
        <f t="shared" ca="1" si="59"/>
        <v>-17.30724888005815</v>
      </c>
      <c r="H97" s="11">
        <f t="shared" ca="1" si="59"/>
        <v>-19.861494702420174</v>
      </c>
      <c r="I97" s="11">
        <f t="shared" si="60"/>
        <v>0</v>
      </c>
      <c r="J97" s="11">
        <f t="shared" si="60"/>
        <v>0</v>
      </c>
      <c r="K97" s="11">
        <f t="shared" si="60"/>
        <v>0</v>
      </c>
      <c r="L97" s="11">
        <f t="shared" si="60"/>
        <v>0</v>
      </c>
      <c r="M97" s="11">
        <f t="shared" si="60"/>
        <v>0</v>
      </c>
      <c r="N97" s="11">
        <f t="shared" si="60"/>
        <v>0</v>
      </c>
      <c r="O97" s="21"/>
      <c r="P97" s="21"/>
      <c r="Q97" s="21"/>
      <c r="V97" s="46">
        <f ca="1">+SUMIFS(Segments!118:118,Segments!$3:$3,'Segments USD'!V$3)/V$9</f>
        <v>-3.4174316259055826</v>
      </c>
      <c r="W97" s="46">
        <f ca="1">+SUMIFS(Segments!118:118,Segments!$3:$3,'Segments USD'!W$3)/W$9</f>
        <v>-5.0900405096236154</v>
      </c>
      <c r="X97" s="46">
        <f ca="1">+SUMIFS(Segments!118:118,Segments!$3:$3,'Segments USD'!X$3)/X$9</f>
        <v>-3.9168763337599009</v>
      </c>
      <c r="Y97" s="46">
        <f ca="1">+SUMIFS(Segments!118:118,Segments!$3:$3,'Segments USD'!Y$3)/Y$9</f>
        <v>-4.882900410769051</v>
      </c>
      <c r="Z97" s="46">
        <f ca="1">+SUMIFS(Segments!118:118,Segments!$3:$3,'Segments USD'!Z$3)/Z$9</f>
        <v>-5.1455481681079531</v>
      </c>
      <c r="AA97" s="46">
        <f ca="1">+SUMIFS(Segments!118:118,Segments!$3:$3,'Segments USD'!AA$3)/AA$9</f>
        <v>-3.6780842304799433</v>
      </c>
      <c r="AB97" s="46">
        <f ca="1">+SUMIFS(Segments!118:118,Segments!$3:$3,'Segments USD'!AB$3)/AB$9</f>
        <v>-7.5372169146809842</v>
      </c>
      <c r="AC97" s="46">
        <f ca="1">+SUMIFS(Segments!118:118,Segments!$3:$3,'Segments USD'!AC$3)/AC$9</f>
        <v>-3.5006453891512934</v>
      </c>
      <c r="BB97" s="8" t="s">
        <v>75</v>
      </c>
    </row>
    <row r="98" spans="1:54" x14ac:dyDescent="0.2">
      <c r="B98" s="1" t="s">
        <v>138</v>
      </c>
      <c r="C98" s="45" t="s">
        <v>164</v>
      </c>
      <c r="G98" s="11">
        <f t="shared" ca="1" si="59"/>
        <v>-2.5071978968177295E-3</v>
      </c>
      <c r="H98" s="11">
        <f t="shared" ca="1" si="59"/>
        <v>0</v>
      </c>
      <c r="I98" s="11">
        <f t="shared" si="60"/>
        <v>0</v>
      </c>
      <c r="J98" s="11">
        <f t="shared" si="60"/>
        <v>0</v>
      </c>
      <c r="K98" s="11">
        <f t="shared" si="60"/>
        <v>0</v>
      </c>
      <c r="L98" s="11">
        <f t="shared" si="60"/>
        <v>0</v>
      </c>
      <c r="M98" s="11">
        <f t="shared" si="60"/>
        <v>0</v>
      </c>
      <c r="N98" s="11">
        <f t="shared" si="60"/>
        <v>0</v>
      </c>
      <c r="O98" s="21"/>
      <c r="P98" s="21"/>
      <c r="Q98" s="21"/>
      <c r="V98" s="46">
        <f ca="1">+SUMIFS(Segments!119:119,Segments!$3:$3,'Segments USD'!V$3)/V$9</f>
        <v>0</v>
      </c>
      <c r="W98" s="46">
        <f ca="1">+SUMIFS(Segments!119:119,Segments!$3:$3,'Segments USD'!W$3)/W$9</f>
        <v>-2.5071978968174637E-3</v>
      </c>
      <c r="X98" s="46">
        <f ca="1">+SUMIFS(Segments!119:119,Segments!$3:$3,'Segments USD'!X$3)/X$9</f>
        <v>-9.0835101120109289E-17</v>
      </c>
      <c r="Y98" s="46">
        <f ca="1">+SUMIFS(Segments!119:119,Segments!$3:$3,'Segments USD'!Y$3)/Y$9</f>
        <v>-1.7532097505133762E-16</v>
      </c>
      <c r="Z98" s="46">
        <f ca="1">+SUMIFS(Segments!119:119,Segments!$3:$3,'Segments USD'!Z$3)/Z$9</f>
        <v>0</v>
      </c>
      <c r="AA98" s="46">
        <f ca="1">+SUMIFS(Segments!119:119,Segments!$3:$3,'Segments USD'!AA$3)/AA$9</f>
        <v>0</v>
      </c>
      <c r="AB98" s="46">
        <f ca="1">+SUMIFS(Segments!119:119,Segments!$3:$3,'Segments USD'!AB$3)/AB$9</f>
        <v>0</v>
      </c>
      <c r="AC98" s="46">
        <f ca="1">+SUMIFS(Segments!119:119,Segments!$3:$3,'Segments USD'!AC$3)/AC$9</f>
        <v>0</v>
      </c>
      <c r="BB98" s="8" t="s">
        <v>75</v>
      </c>
    </row>
    <row r="99" spans="1:54" x14ac:dyDescent="0.2">
      <c r="B99" s="1" t="s">
        <v>139</v>
      </c>
      <c r="C99" s="45" t="s">
        <v>164</v>
      </c>
      <c r="G99" s="11">
        <f t="shared" ca="1" si="59"/>
        <v>0</v>
      </c>
      <c r="H99" s="11">
        <f t="shared" ca="1" si="59"/>
        <v>0</v>
      </c>
      <c r="I99" s="11">
        <f t="shared" si="60"/>
        <v>0</v>
      </c>
      <c r="J99" s="11">
        <f t="shared" si="60"/>
        <v>0</v>
      </c>
      <c r="K99" s="11">
        <f t="shared" si="60"/>
        <v>0</v>
      </c>
      <c r="L99" s="11">
        <f t="shared" si="60"/>
        <v>0</v>
      </c>
      <c r="M99" s="11">
        <f t="shared" si="60"/>
        <v>0</v>
      </c>
      <c r="N99" s="11">
        <f t="shared" si="60"/>
        <v>0</v>
      </c>
      <c r="O99" s="21"/>
      <c r="P99" s="21"/>
      <c r="Q99" s="21"/>
      <c r="V99" s="46">
        <f ca="1">+SUMIFS(Segments!120:120,Segments!$3:$3,'Segments USD'!V$3)/V$9</f>
        <v>0</v>
      </c>
      <c r="W99" s="46">
        <f ca="1">+SUMIFS(Segments!120:120,Segments!$3:$3,'Segments USD'!W$3)/W$9</f>
        <v>0</v>
      </c>
      <c r="X99" s="46">
        <f ca="1">+SUMIFS(Segments!120:120,Segments!$3:$3,'Segments USD'!X$3)/X$9</f>
        <v>0</v>
      </c>
      <c r="Y99" s="46">
        <f ca="1">+SUMIFS(Segments!120:120,Segments!$3:$3,'Segments USD'!Y$3)/Y$9</f>
        <v>0</v>
      </c>
      <c r="Z99" s="46">
        <f ca="1">+SUMIFS(Segments!120:120,Segments!$3:$3,'Segments USD'!Z$3)/Z$9</f>
        <v>0</v>
      </c>
      <c r="AA99" s="46">
        <f ca="1">+SUMIFS(Segments!120:120,Segments!$3:$3,'Segments USD'!AA$3)/AA$9</f>
        <v>0</v>
      </c>
      <c r="AB99" s="46">
        <f ca="1">+SUMIFS(Segments!120:120,Segments!$3:$3,'Segments USD'!AB$3)/AB$9</f>
        <v>0</v>
      </c>
      <c r="AC99" s="46">
        <f ca="1">+SUMIFS(Segments!120:120,Segments!$3:$3,'Segments USD'!AC$3)/AC$9</f>
        <v>0</v>
      </c>
      <c r="BB99" s="8" t="s">
        <v>75</v>
      </c>
    </row>
    <row r="100" spans="1:54" x14ac:dyDescent="0.2">
      <c r="B100" s="1" t="s">
        <v>14</v>
      </c>
      <c r="C100" s="45" t="s">
        <v>164</v>
      </c>
      <c r="G100" s="11">
        <f t="shared" ca="1" si="59"/>
        <v>0</v>
      </c>
      <c r="H100" s="11">
        <f t="shared" ca="1" si="59"/>
        <v>0</v>
      </c>
      <c r="I100" s="11">
        <f t="shared" si="60"/>
        <v>0</v>
      </c>
      <c r="J100" s="11">
        <f t="shared" si="60"/>
        <v>0</v>
      </c>
      <c r="K100" s="11">
        <f t="shared" si="60"/>
        <v>0</v>
      </c>
      <c r="L100" s="11">
        <f t="shared" si="60"/>
        <v>0</v>
      </c>
      <c r="M100" s="11">
        <f t="shared" si="60"/>
        <v>0</v>
      </c>
      <c r="N100" s="11">
        <f t="shared" si="60"/>
        <v>0</v>
      </c>
      <c r="O100" s="21"/>
      <c r="P100" s="21"/>
      <c r="Q100" s="21"/>
      <c r="V100" s="46">
        <f ca="1">+SUMIFS(Segments!121:121,Segments!$3:$3,'Segments USD'!V$3)/V$9</f>
        <v>0</v>
      </c>
      <c r="W100" s="46">
        <f ca="1">+SUMIFS(Segments!121:121,Segments!$3:$3,'Segments USD'!W$3)/W$9</f>
        <v>0</v>
      </c>
      <c r="X100" s="46">
        <f ca="1">+SUMIFS(Segments!121:121,Segments!$3:$3,'Segments USD'!X$3)/X$9</f>
        <v>0</v>
      </c>
      <c r="Y100" s="46">
        <f ca="1">+SUMIFS(Segments!121:121,Segments!$3:$3,'Segments USD'!Y$3)/Y$9</f>
        <v>0</v>
      </c>
      <c r="Z100" s="46">
        <f ca="1">+SUMIFS(Segments!121:121,Segments!$3:$3,'Segments USD'!Z$3)/Z$9</f>
        <v>0</v>
      </c>
      <c r="AA100" s="46">
        <f ca="1">+SUMIFS(Segments!121:121,Segments!$3:$3,'Segments USD'!AA$3)/AA$9</f>
        <v>0</v>
      </c>
      <c r="AB100" s="46">
        <f ca="1">+SUMIFS(Segments!121:121,Segments!$3:$3,'Segments USD'!AB$3)/AB$9</f>
        <v>0</v>
      </c>
      <c r="AC100" s="46">
        <f ca="1">+SUMIFS(Segments!121:121,Segments!$3:$3,'Segments USD'!AC$3)/AC$9</f>
        <v>0</v>
      </c>
      <c r="BB100" s="8" t="s">
        <v>75</v>
      </c>
    </row>
    <row r="101" spans="1:54" s="2" customFormat="1" x14ac:dyDescent="0.2">
      <c r="B101" s="18" t="s">
        <v>140</v>
      </c>
      <c r="C101" s="45" t="s">
        <v>164</v>
      </c>
      <c r="D101" s="18"/>
      <c r="E101" s="18"/>
      <c r="F101" s="18"/>
      <c r="G101" s="13">
        <f t="shared" ca="1" si="59"/>
        <v>-17.309756077954965</v>
      </c>
      <c r="H101" s="13">
        <f t="shared" ca="1" si="59"/>
        <v>-19.861494702420174</v>
      </c>
      <c r="I101" s="13">
        <f t="shared" si="60"/>
        <v>0</v>
      </c>
      <c r="J101" s="13">
        <f t="shared" si="60"/>
        <v>0</v>
      </c>
      <c r="K101" s="13">
        <f t="shared" si="60"/>
        <v>0</v>
      </c>
      <c r="L101" s="13">
        <f t="shared" si="60"/>
        <v>0</v>
      </c>
      <c r="M101" s="13">
        <f t="shared" si="60"/>
        <v>0</v>
      </c>
      <c r="N101" s="13">
        <f t="shared" si="60"/>
        <v>0</v>
      </c>
      <c r="O101" s="40"/>
      <c r="P101" s="40"/>
      <c r="Q101" s="40"/>
      <c r="R101" s="18"/>
      <c r="S101" s="18"/>
      <c r="T101" s="18"/>
      <c r="U101" s="18"/>
      <c r="V101" s="24">
        <f ca="1">+SUM(V95:V100)</f>
        <v>-3.4174316259055826</v>
      </c>
      <c r="W101" s="24">
        <f t="shared" ref="W101:AC101" ca="1" si="61">+SUM(W95:W100)</f>
        <v>-5.0925477075204331</v>
      </c>
      <c r="X101" s="24">
        <f t="shared" ca="1" si="61"/>
        <v>-3.9168763337599009</v>
      </c>
      <c r="Y101" s="24">
        <f t="shared" ca="1" si="61"/>
        <v>-4.882900410769051</v>
      </c>
      <c r="Z101" s="24">
        <f t="shared" ca="1" si="61"/>
        <v>-5.1455481681079531</v>
      </c>
      <c r="AA101" s="24">
        <f t="shared" ca="1" si="61"/>
        <v>-3.6780842304799433</v>
      </c>
      <c r="AB101" s="24">
        <f t="shared" ca="1" si="61"/>
        <v>-7.5372169146809842</v>
      </c>
      <c r="AC101" s="24">
        <f t="shared" ca="1" si="61"/>
        <v>-3.5006453891512934</v>
      </c>
      <c r="BB101" s="83" t="s">
        <v>75</v>
      </c>
    </row>
    <row r="102" spans="1:54" s="25" customFormat="1" x14ac:dyDescent="0.2">
      <c r="B102" s="26" t="s">
        <v>141</v>
      </c>
      <c r="C102" s="45" t="s">
        <v>177</v>
      </c>
      <c r="D102" s="26"/>
      <c r="E102" s="26"/>
      <c r="F102" s="26"/>
      <c r="G102" s="42" t="str">
        <f ca="1">+IFERROR(G101/G95,"NM")</f>
        <v>NM</v>
      </c>
      <c r="H102" s="42" t="str">
        <f ca="1">+IFERROR(H101/H95,"NM")</f>
        <v>NM</v>
      </c>
      <c r="I102" s="42" t="str">
        <f t="shared" ref="I102:N102" si="62">+IFERROR(I101/I95,"NM")</f>
        <v>NM</v>
      </c>
      <c r="J102" s="42" t="str">
        <f t="shared" si="62"/>
        <v>NM</v>
      </c>
      <c r="K102" s="42" t="str">
        <f t="shared" si="62"/>
        <v>NM</v>
      </c>
      <c r="L102" s="42" t="str">
        <f t="shared" si="62"/>
        <v>NM</v>
      </c>
      <c r="M102" s="42" t="str">
        <f t="shared" si="62"/>
        <v>NM</v>
      </c>
      <c r="N102" s="42" t="str">
        <f t="shared" si="62"/>
        <v>NM</v>
      </c>
      <c r="O102" s="41"/>
      <c r="P102" s="41"/>
      <c r="Q102" s="41"/>
      <c r="R102" s="26"/>
      <c r="S102" s="26"/>
      <c r="T102" s="26"/>
      <c r="U102" s="26"/>
      <c r="V102" s="42" t="str">
        <f ca="1">+IFERROR(V101/V95,"NM")</f>
        <v>NM</v>
      </c>
      <c r="W102" s="42" t="str">
        <f t="shared" ref="W102:AC102" ca="1" si="63">+IFERROR(W101/W95,"NM")</f>
        <v>NM</v>
      </c>
      <c r="X102" s="42" t="str">
        <f t="shared" ca="1" si="63"/>
        <v>NM</v>
      </c>
      <c r="Y102" s="42" t="str">
        <f t="shared" ca="1" si="63"/>
        <v>NM</v>
      </c>
      <c r="Z102" s="42" t="str">
        <f t="shared" ca="1" si="63"/>
        <v>NM</v>
      </c>
      <c r="AA102" s="42" t="str">
        <f t="shared" ca="1" si="63"/>
        <v>NM</v>
      </c>
      <c r="AB102" s="42" t="str">
        <f t="shared" ca="1" si="63"/>
        <v>NM</v>
      </c>
      <c r="AC102" s="42" t="str">
        <f t="shared" ca="1" si="63"/>
        <v>NM</v>
      </c>
      <c r="BB102" s="88" t="s">
        <v>75</v>
      </c>
    </row>
    <row r="103" spans="1:54" x14ac:dyDescent="0.2">
      <c r="B103" s="1" t="s">
        <v>142</v>
      </c>
      <c r="C103" s="45" t="s">
        <v>164</v>
      </c>
      <c r="G103" s="11">
        <f ca="1">+SUMIFS(103:103,$6:$6,G$3)</f>
        <v>3.2875302507137447</v>
      </c>
      <c r="H103" s="11">
        <f ca="1">+SUMIFS(103:103,$6:$6,H$3)</f>
        <v>7.1631157799159073</v>
      </c>
      <c r="I103" s="11">
        <f t="shared" ref="I103:N104" si="64">+SUMIFS(103:103,$6:$6,I$3)</f>
        <v>0</v>
      </c>
      <c r="J103" s="11">
        <f t="shared" si="64"/>
        <v>0</v>
      </c>
      <c r="K103" s="11">
        <f t="shared" si="64"/>
        <v>0</v>
      </c>
      <c r="L103" s="11">
        <f t="shared" si="64"/>
        <v>0</v>
      </c>
      <c r="M103" s="11">
        <f t="shared" si="64"/>
        <v>0</v>
      </c>
      <c r="N103" s="11">
        <f t="shared" si="64"/>
        <v>0</v>
      </c>
      <c r="O103" s="21"/>
      <c r="P103" s="21"/>
      <c r="Q103" s="21"/>
      <c r="V103" s="46">
        <f ca="1">+SUMIFS(Segments!124:124,Segments!$3:$3,'Segments USD'!V$3)/V$9</f>
        <v>8.2268229376842514E-2</v>
      </c>
      <c r="W103" s="46">
        <f ca="1">+SUMIFS(Segments!124:124,Segments!$3:$3,'Segments USD'!W$3)/W$9</f>
        <v>1.7240835074261682</v>
      </c>
      <c r="X103" s="46">
        <f ca="1">+SUMIFS(Segments!124:124,Segments!$3:$3,'Segments USD'!X$3)/X$9</f>
        <v>-5.8407946496528945E-2</v>
      </c>
      <c r="Y103" s="46">
        <f ca="1">+SUMIFS(Segments!124:124,Segments!$3:$3,'Segments USD'!Y$3)/Y$9</f>
        <v>1.5395864604072631</v>
      </c>
      <c r="Z103" s="46">
        <f ca="1">+SUMIFS(Segments!124:124,Segments!$3:$3,'Segments USD'!Z$3)/Z$9</f>
        <v>1.4079252508853288</v>
      </c>
      <c r="AA103" s="46">
        <f ca="1">+SUMIFS(Segments!124:124,Segments!$3:$3,'Segments USD'!AA$3)/AA$9</f>
        <v>1.0650509362912828</v>
      </c>
      <c r="AB103" s="46">
        <f ca="1">+SUMIFS(Segments!124:124,Segments!$3:$3,'Segments USD'!AB$3)/AB$9</f>
        <v>4.5448503292718856</v>
      </c>
      <c r="AC103" s="46">
        <f ca="1">+SUMIFS(Segments!124:124,Segments!$3:$3,'Segments USD'!AC$3)/AC$9</f>
        <v>0.14528926346740953</v>
      </c>
      <c r="BB103" s="8" t="s">
        <v>75</v>
      </c>
    </row>
    <row r="104" spans="1:54" s="2" customFormat="1" x14ac:dyDescent="0.2">
      <c r="B104" s="18" t="s">
        <v>4</v>
      </c>
      <c r="C104" s="45" t="s">
        <v>164</v>
      </c>
      <c r="D104" s="148">
        <f ca="1">+Ctrl!$G$56</f>
        <v>-70</v>
      </c>
      <c r="E104" s="18"/>
      <c r="F104" s="18"/>
      <c r="G104" s="13">
        <f ca="1">+SUMIFS(104:104,$6:$6,G$3)</f>
        <v>-14.022225827241224</v>
      </c>
      <c r="H104" s="13">
        <f ca="1">+SUMIFS(104:104,$6:$6,H$3)</f>
        <v>-12.698378922504267</v>
      </c>
      <c r="I104" s="13">
        <f t="shared" ca="1" si="64"/>
        <v>-12.502614204651593</v>
      </c>
      <c r="J104" s="13">
        <f t="shared" ca="1" si="64"/>
        <v>-12.613969381916194</v>
      </c>
      <c r="K104" s="13">
        <f t="shared" ca="1" si="64"/>
        <v>-12.86067797011798</v>
      </c>
      <c r="L104" s="13">
        <f t="shared" ca="1" si="64"/>
        <v>-13.112211774367919</v>
      </c>
      <c r="M104" s="13">
        <f t="shared" ca="1" si="64"/>
        <v>-13.368665167991564</v>
      </c>
      <c r="N104" s="13">
        <f t="shared" ca="1" si="64"/>
        <v>-13.630134370102194</v>
      </c>
      <c r="O104" s="40"/>
      <c r="P104" s="40"/>
      <c r="Q104" s="40"/>
      <c r="R104" s="18"/>
      <c r="S104" s="18"/>
      <c r="T104" s="18"/>
      <c r="U104" s="18"/>
      <c r="V104" s="148">
        <f ca="1">+SUMIFS(Segments!125:125,Segments!$3:$3,'Segments USD'!V$3)/V$9</f>
        <v>-3.3351633965287402</v>
      </c>
      <c r="W104" s="148">
        <f ca="1">+SUMIFS(Segments!125:125,Segments!$3:$3,'Segments USD'!W$3)/W$9</f>
        <v>-3.3684642000942651</v>
      </c>
      <c r="X104" s="148">
        <f ca="1">+SUMIFS(Segments!125:125,Segments!$3:$3,'Segments USD'!X$3)/X$9</f>
        <v>-3.9752842802564299</v>
      </c>
      <c r="Y104" s="148">
        <f ca="1">+SUMIFS(Segments!125:125,Segments!$3:$3,'Segments USD'!Y$3)/Y$9</f>
        <v>-3.3433139503617877</v>
      </c>
      <c r="Z104" s="148">
        <f ca="1">+SUMIFS(Segments!125:125,Segments!$3:$3,'Segments USD'!Z$3)/Z$9</f>
        <v>-3.7376229172226245</v>
      </c>
      <c r="AA104" s="148">
        <f ca="1">+SUMIFS(Segments!125:125,Segments!$3:$3,'Segments USD'!AA$3)/AA$9</f>
        <v>-2.6130332941886603</v>
      </c>
      <c r="AB104" s="148">
        <f ca="1">+SUMIFS(Segments!125:125,Segments!$3:$3,'Segments USD'!AB$3)/AB$9</f>
        <v>-2.9923665854090991</v>
      </c>
      <c r="AC104" s="148">
        <f ca="1">+SUMIFS(Segments!125:125,Segments!$3:$3,'Segments USD'!AC$3)/AC$9</f>
        <v>-3.3553561256838838</v>
      </c>
      <c r="AD104" s="148">
        <f ca="1">+SUMIFS(Segments!125:125,Segments!$3:$3,'Segments USD'!AD$3)/AD$9</f>
        <v>-3.2466819154935074</v>
      </c>
      <c r="AE104" s="148">
        <f ca="1">+SUMIFS(Segments!125:125,Segments!$3:$3,'Segments USD'!AE$3)/AE$9</f>
        <v>-3.1006351123236473</v>
      </c>
      <c r="AF104" s="148">
        <f ca="1">+SUMIFS(Segments!125:125,Segments!$3:$3,'Segments USD'!AF$3)/AF$9</f>
        <v>-3.085285433549767</v>
      </c>
      <c r="AG104" s="148">
        <f ca="1">+SUMIFS(Segments!125:125,Segments!$3:$3,'Segments USD'!AG$3)/AG$9</f>
        <v>-3.0700117432846694</v>
      </c>
      <c r="AH104" s="148">
        <f ca="1">+SUMIFS(Segments!125:125,Segments!$3:$3,'Segments USD'!AH$3)/AH$9</f>
        <v>-3.1770062119615203</v>
      </c>
      <c r="AI104" s="148">
        <f ca="1">+SUMIFS(Segments!125:125,Segments!$3:$3,'Segments USD'!AI$3)/AI$9</f>
        <v>-3.161278458436958</v>
      </c>
      <c r="AJ104" s="148">
        <f ca="1">+SUMIFS(Segments!125:125,Segments!$3:$3,'Segments USD'!AJ$3)/AJ$9</f>
        <v>-3.1456285650783591</v>
      </c>
      <c r="AK104" s="148">
        <f ca="1">+SUMIFS(Segments!125:125,Segments!$3:$3,'Segments USD'!AK$3)/AK$9</f>
        <v>-3.1300561464393564</v>
      </c>
      <c r="AL104" s="148">
        <f ca="1">+SUMIFS(Segments!125:125,Segments!$3:$3,'Segments USD'!AL$3)/AL$9</f>
        <v>-3.2391432517410053</v>
      </c>
      <c r="AM104" s="148">
        <f ca="1">+SUMIFS(Segments!125:125,Segments!$3:$3,'Segments USD'!AM$3)/AM$9</f>
        <v>-3.2231078891086233</v>
      </c>
      <c r="AN104" s="148">
        <f ca="1">+SUMIFS(Segments!125:125,Segments!$3:$3,'Segments USD'!AN$3)/AN$9</f>
        <v>-3.2071519094595708</v>
      </c>
      <c r="AO104" s="148">
        <f ca="1">+SUMIFS(Segments!125:125,Segments!$3:$3,'Segments USD'!AO$3)/AO$9</f>
        <v>-3.1912749198087806</v>
      </c>
      <c r="AP104" s="148">
        <f ca="1">+SUMIFS(Segments!125:125,Segments!$3:$3,'Segments USD'!AP$3)/AP$9</f>
        <v>-3.3024955902813242</v>
      </c>
      <c r="AQ104" s="148">
        <f ca="1">+SUMIFS(Segments!125:125,Segments!$3:$3,'Segments USD'!AQ$3)/AQ$9</f>
        <v>-3.286146602210624</v>
      </c>
      <c r="AR104" s="148">
        <f ca="1">+SUMIFS(Segments!125:125,Segments!$3:$3,'Segments USD'!AR$3)/AR$9</f>
        <v>-3.2698785497244325</v>
      </c>
      <c r="AS104" s="148">
        <f ca="1">+SUMIFS(Segments!125:125,Segments!$3:$3,'Segments USD'!AS$3)/AS$9</f>
        <v>-3.2536910321515387</v>
      </c>
      <c r="AT104" s="148">
        <f ca="1">+SUMIFS(Segments!125:125,Segments!$3:$3,'Segments USD'!AT$3)/AT$9</f>
        <v>-3.3670869968364241</v>
      </c>
      <c r="AU104" s="148">
        <f ca="1">+SUMIFS(Segments!125:125,Segments!$3:$3,'Segments USD'!AU$3)/AU$9</f>
        <v>-3.350418249327332</v>
      </c>
      <c r="AV104" s="148">
        <f ca="1">+SUMIFS(Segments!125:125,Segments!$3:$3,'Segments USD'!AV$3)/AV$9</f>
        <v>-3.333832020370266</v>
      </c>
      <c r="AW104" s="148">
        <f ca="1">+SUMIFS(Segments!125:125,Segments!$3:$3,'Segments USD'!AW$3)/AW$9</f>
        <v>-3.3173279014575416</v>
      </c>
      <c r="AX104" s="148">
        <f ca="1">+SUMIFS(Segments!125:125,Segments!$3:$3,'Segments USD'!AX$3)/AX$9</f>
        <v>-3.4329417055479423</v>
      </c>
      <c r="AY104" s="148">
        <f ca="1">+SUMIFS(Segments!125:125,Segments!$3:$3,'Segments USD'!AY$3)/AY$9</f>
        <v>-3.4159469446293875</v>
      </c>
      <c r="AZ104" s="148">
        <f ca="1">+SUMIFS(Segments!125:125,Segments!$3:$3,'Segments USD'!AZ$3)/AZ$9</f>
        <v>-3.3990363161906276</v>
      </c>
      <c r="BA104" s="148">
        <f ca="1">+SUMIFS(Segments!125:125,Segments!$3:$3,'Segments USD'!BA$3)/BA$9</f>
        <v>-3.3822094037342376</v>
      </c>
      <c r="BB104" s="83" t="s">
        <v>75</v>
      </c>
    </row>
    <row r="105" spans="1:54" s="25" customFormat="1" x14ac:dyDescent="0.2">
      <c r="B105" s="26" t="s">
        <v>141</v>
      </c>
      <c r="C105" s="45" t="s">
        <v>177</v>
      </c>
      <c r="D105" s="26"/>
      <c r="E105" s="26"/>
      <c r="F105" s="26"/>
      <c r="G105" s="42" t="str">
        <f ca="1">+IFERROR(G104/G95,"NM")</f>
        <v>NM</v>
      </c>
      <c r="H105" s="42" t="str">
        <f ca="1">+IFERROR(H104/H95,"NM")</f>
        <v>NM</v>
      </c>
      <c r="I105" s="42" t="str">
        <f t="shared" ref="I105:N105" ca="1" si="65">+IFERROR(I104/I95,"NM")</f>
        <v>NM</v>
      </c>
      <c r="J105" s="42" t="str">
        <f t="shared" ca="1" si="65"/>
        <v>NM</v>
      </c>
      <c r="K105" s="42" t="str">
        <f t="shared" ca="1" si="65"/>
        <v>NM</v>
      </c>
      <c r="L105" s="42" t="str">
        <f t="shared" ca="1" si="65"/>
        <v>NM</v>
      </c>
      <c r="M105" s="42" t="str">
        <f t="shared" ca="1" si="65"/>
        <v>NM</v>
      </c>
      <c r="N105" s="42" t="str">
        <f t="shared" ca="1" si="65"/>
        <v>NM</v>
      </c>
      <c r="O105" s="41"/>
      <c r="P105" s="41"/>
      <c r="Q105" s="41"/>
      <c r="R105" s="26"/>
      <c r="S105" s="26"/>
      <c r="T105" s="26"/>
      <c r="U105" s="26"/>
      <c r="V105" s="42" t="str">
        <f ca="1">+IFERROR(V104/V95,"NM")</f>
        <v>NM</v>
      </c>
      <c r="W105" s="42" t="str">
        <f t="shared" ref="W105:AC105" ca="1" si="66">+IFERROR(W104/W95,"NM")</f>
        <v>NM</v>
      </c>
      <c r="X105" s="42" t="str">
        <f t="shared" ca="1" si="66"/>
        <v>NM</v>
      </c>
      <c r="Y105" s="42" t="str">
        <f t="shared" ca="1" si="66"/>
        <v>NM</v>
      </c>
      <c r="Z105" s="42" t="str">
        <f t="shared" ca="1" si="66"/>
        <v>NM</v>
      </c>
      <c r="AA105" s="42" t="str">
        <f t="shared" ca="1" si="66"/>
        <v>NM</v>
      </c>
      <c r="AB105" s="42" t="str">
        <f t="shared" ca="1" si="66"/>
        <v>NM</v>
      </c>
      <c r="AC105" s="42" t="str">
        <f t="shared" ca="1" si="66"/>
        <v>NM</v>
      </c>
      <c r="BB105" s="83" t="s">
        <v>75</v>
      </c>
    </row>
    <row r="106" spans="1:54" x14ac:dyDescent="0.2">
      <c r="B106" s="18"/>
      <c r="BB106" s="8" t="s">
        <v>75</v>
      </c>
    </row>
    <row r="107" spans="1:54" s="35" customFormat="1" x14ac:dyDescent="0.2">
      <c r="A107" s="1" t="s">
        <v>75</v>
      </c>
      <c r="B107" s="36" t="s">
        <v>615</v>
      </c>
      <c r="C107" s="36"/>
      <c r="D107" s="36"/>
      <c r="E107" s="36"/>
      <c r="F107" s="36"/>
      <c r="G107" s="37"/>
      <c r="H107" s="37"/>
      <c r="I107" s="37"/>
      <c r="J107" s="37"/>
      <c r="K107" s="37"/>
      <c r="L107" s="37"/>
      <c r="M107" s="37"/>
      <c r="N107" s="37"/>
      <c r="R107" s="36"/>
      <c r="S107" s="36"/>
      <c r="T107" s="36"/>
      <c r="U107" s="36"/>
      <c r="V107" s="38"/>
      <c r="W107" s="38"/>
      <c r="X107" s="38"/>
      <c r="Y107" s="38"/>
      <c r="Z107" s="38"/>
      <c r="AA107" s="38"/>
      <c r="AB107" s="38"/>
      <c r="AC107" s="38"/>
      <c r="BB107" s="90" t="s">
        <v>75</v>
      </c>
    </row>
    <row r="108" spans="1:54" s="2" customFormat="1" x14ac:dyDescent="0.2">
      <c r="B108" s="2" t="s">
        <v>132</v>
      </c>
      <c r="C108" s="45" t="s">
        <v>164</v>
      </c>
      <c r="G108" s="13">
        <f t="shared" ref="G108:H114" ca="1" si="67">+SUMIFS(108:108,$6:$6,G$3)</f>
        <v>0</v>
      </c>
      <c r="H108" s="13">
        <f t="shared" ca="1" si="67"/>
        <v>0</v>
      </c>
      <c r="I108" s="13">
        <f t="shared" ref="I108:N114" si="68">+SUMIFS(108:108,$6:$6,I$3)</f>
        <v>0</v>
      </c>
      <c r="J108" s="13">
        <f t="shared" si="68"/>
        <v>0</v>
      </c>
      <c r="K108" s="13">
        <f t="shared" si="68"/>
        <v>0</v>
      </c>
      <c r="L108" s="13">
        <f t="shared" si="68"/>
        <v>0</v>
      </c>
      <c r="M108" s="13">
        <f t="shared" si="68"/>
        <v>0</v>
      </c>
      <c r="N108" s="13">
        <f t="shared" si="68"/>
        <v>0</v>
      </c>
      <c r="O108" s="40"/>
      <c r="P108" s="40"/>
      <c r="Q108" s="40"/>
      <c r="V108" s="148">
        <f ca="1">+SUMIFS(Segments!129:129,Segments!$3:$3,'Segments USD'!V$3)/V$9</f>
        <v>0</v>
      </c>
      <c r="W108" s="148">
        <f ca="1">+SUMIFS(Segments!129:129,Segments!$3:$3,'Segments USD'!W$3)/W$9</f>
        <v>0</v>
      </c>
      <c r="X108" s="148">
        <f ca="1">+SUMIFS(Segments!129:129,Segments!$3:$3,'Segments USD'!X$3)/X$9</f>
        <v>0</v>
      </c>
      <c r="Y108" s="148">
        <f ca="1">+SUMIFS(Segments!129:129,Segments!$3:$3,'Segments USD'!Y$3)/Y$9</f>
        <v>0</v>
      </c>
      <c r="Z108" s="148">
        <f ca="1">+SUMIFS(Segments!129:129,Segments!$3:$3,'Segments USD'!Z$3)/Z$9</f>
        <v>0</v>
      </c>
      <c r="AA108" s="148">
        <f ca="1">+SUMIFS(Segments!129:129,Segments!$3:$3,'Segments USD'!AA$3)/AA$9</f>
        <v>0</v>
      </c>
      <c r="AB108" s="148">
        <f ca="1">+SUMIFS(Segments!129:129,Segments!$3:$3,'Segments USD'!AB$3)/AB$9</f>
        <v>0</v>
      </c>
      <c r="AC108" s="148">
        <f ca="1">+SUMIFS(Segments!129:129,Segments!$3:$3,'Segments USD'!AC$3)/AC$9</f>
        <v>0</v>
      </c>
      <c r="BB108" s="83" t="s">
        <v>75</v>
      </c>
    </row>
    <row r="109" spans="1:54" s="2" customFormat="1" x14ac:dyDescent="0.2">
      <c r="B109" s="2" t="s">
        <v>136</v>
      </c>
      <c r="C109" s="45" t="s">
        <v>164</v>
      </c>
      <c r="G109" s="13">
        <f t="shared" ca="1" si="67"/>
        <v>0</v>
      </c>
      <c r="H109" s="13">
        <f t="shared" ca="1" si="67"/>
        <v>0</v>
      </c>
      <c r="I109" s="13">
        <f t="shared" si="68"/>
        <v>0</v>
      </c>
      <c r="J109" s="13">
        <f t="shared" si="68"/>
        <v>0</v>
      </c>
      <c r="K109" s="13">
        <f t="shared" si="68"/>
        <v>0</v>
      </c>
      <c r="L109" s="13">
        <f t="shared" si="68"/>
        <v>0</v>
      </c>
      <c r="M109" s="13">
        <f t="shared" si="68"/>
        <v>0</v>
      </c>
      <c r="N109" s="13">
        <f t="shared" si="68"/>
        <v>0</v>
      </c>
      <c r="O109" s="40"/>
      <c r="P109" s="40"/>
      <c r="Q109" s="40"/>
      <c r="V109" s="148">
        <f ca="1">+SUMIFS(Segments!130:130,Segments!$3:$3,'Segments USD'!V$3)/V$9</f>
        <v>0</v>
      </c>
      <c r="W109" s="148">
        <f ca="1">+SUMIFS(Segments!130:130,Segments!$3:$3,'Segments USD'!W$3)/W$9</f>
        <v>0</v>
      </c>
      <c r="X109" s="148">
        <f ca="1">+SUMIFS(Segments!130:130,Segments!$3:$3,'Segments USD'!X$3)/X$9</f>
        <v>0</v>
      </c>
      <c r="Y109" s="148">
        <f ca="1">+SUMIFS(Segments!130:130,Segments!$3:$3,'Segments USD'!Y$3)/Y$9</f>
        <v>0</v>
      </c>
      <c r="Z109" s="148">
        <f ca="1">+SUMIFS(Segments!130:130,Segments!$3:$3,'Segments USD'!Z$3)/Z$9</f>
        <v>0</v>
      </c>
      <c r="AA109" s="148">
        <f ca="1">+SUMIFS(Segments!130:130,Segments!$3:$3,'Segments USD'!AA$3)/AA$9</f>
        <v>0</v>
      </c>
      <c r="AB109" s="148">
        <f ca="1">+SUMIFS(Segments!130:130,Segments!$3:$3,'Segments USD'!AB$3)/AB$9</f>
        <v>0</v>
      </c>
      <c r="AC109" s="148">
        <f ca="1">+SUMIFS(Segments!130:130,Segments!$3:$3,'Segments USD'!AC$3)/AC$9</f>
        <v>0</v>
      </c>
      <c r="BB109" s="83" t="s">
        <v>75</v>
      </c>
    </row>
    <row r="110" spans="1:54" x14ac:dyDescent="0.2">
      <c r="B110" s="1" t="s">
        <v>137</v>
      </c>
      <c r="C110" s="45" t="s">
        <v>164</v>
      </c>
      <c r="G110" s="11">
        <f t="shared" ca="1" si="67"/>
        <v>0</v>
      </c>
      <c r="H110" s="11">
        <f t="shared" ca="1" si="67"/>
        <v>0</v>
      </c>
      <c r="I110" s="11">
        <f t="shared" si="68"/>
        <v>0</v>
      </c>
      <c r="J110" s="11">
        <f t="shared" si="68"/>
        <v>0</v>
      </c>
      <c r="K110" s="11">
        <f t="shared" si="68"/>
        <v>0</v>
      </c>
      <c r="L110" s="11">
        <f t="shared" si="68"/>
        <v>0</v>
      </c>
      <c r="M110" s="11">
        <f t="shared" si="68"/>
        <v>0</v>
      </c>
      <c r="N110" s="11">
        <f t="shared" si="68"/>
        <v>0</v>
      </c>
      <c r="O110" s="21"/>
      <c r="P110" s="21"/>
      <c r="Q110" s="21"/>
      <c r="V110" s="46">
        <f ca="1">+SUMIFS(Segments!131:131,Segments!$3:$3,'Segments USD'!V$3)/V$9</f>
        <v>0</v>
      </c>
      <c r="W110" s="46">
        <f ca="1">+SUMIFS(Segments!131:131,Segments!$3:$3,'Segments USD'!W$3)/W$9</f>
        <v>0</v>
      </c>
      <c r="X110" s="46">
        <f ca="1">+SUMIFS(Segments!131:131,Segments!$3:$3,'Segments USD'!X$3)/X$9</f>
        <v>0</v>
      </c>
      <c r="Y110" s="46">
        <f ca="1">+SUMIFS(Segments!131:131,Segments!$3:$3,'Segments USD'!Y$3)/Y$9</f>
        <v>0</v>
      </c>
      <c r="Z110" s="46">
        <f ca="1">+SUMIFS(Segments!131:131,Segments!$3:$3,'Segments USD'!Z$3)/Z$9</f>
        <v>0</v>
      </c>
      <c r="AA110" s="46">
        <f ca="1">+SUMIFS(Segments!131:131,Segments!$3:$3,'Segments USD'!AA$3)/AA$9</f>
        <v>0</v>
      </c>
      <c r="AB110" s="46">
        <f ca="1">+SUMIFS(Segments!131:131,Segments!$3:$3,'Segments USD'!AB$3)/AB$9</f>
        <v>0</v>
      </c>
      <c r="AC110" s="46">
        <f ca="1">+SUMIFS(Segments!131:131,Segments!$3:$3,'Segments USD'!AC$3)/AC$9</f>
        <v>0</v>
      </c>
      <c r="BB110" s="8" t="s">
        <v>75</v>
      </c>
    </row>
    <row r="111" spans="1:54" x14ac:dyDescent="0.2">
      <c r="B111" s="1" t="s">
        <v>138</v>
      </c>
      <c r="C111" s="45" t="s">
        <v>164</v>
      </c>
      <c r="G111" s="11">
        <f t="shared" ca="1" si="67"/>
        <v>0</v>
      </c>
      <c r="H111" s="11">
        <f t="shared" ca="1" si="67"/>
        <v>0</v>
      </c>
      <c r="I111" s="11">
        <f t="shared" si="68"/>
        <v>0</v>
      </c>
      <c r="J111" s="11">
        <f t="shared" si="68"/>
        <v>0</v>
      </c>
      <c r="K111" s="11">
        <f t="shared" si="68"/>
        <v>0</v>
      </c>
      <c r="L111" s="11">
        <f t="shared" si="68"/>
        <v>0</v>
      </c>
      <c r="M111" s="11">
        <f t="shared" si="68"/>
        <v>0</v>
      </c>
      <c r="N111" s="11">
        <f t="shared" si="68"/>
        <v>0</v>
      </c>
      <c r="O111" s="21"/>
      <c r="P111" s="21"/>
      <c r="Q111" s="21"/>
      <c r="V111" s="46">
        <f ca="1">+SUMIFS(Segments!132:132,Segments!$3:$3,'Segments USD'!V$3)/V$9</f>
        <v>0</v>
      </c>
      <c r="W111" s="46">
        <f ca="1">+SUMIFS(Segments!132:132,Segments!$3:$3,'Segments USD'!W$3)/W$9</f>
        <v>0</v>
      </c>
      <c r="X111" s="46">
        <f ca="1">+SUMIFS(Segments!132:132,Segments!$3:$3,'Segments USD'!X$3)/X$9</f>
        <v>0</v>
      </c>
      <c r="Y111" s="46">
        <f ca="1">+SUMIFS(Segments!132:132,Segments!$3:$3,'Segments USD'!Y$3)/Y$9</f>
        <v>0</v>
      </c>
      <c r="Z111" s="46">
        <f ca="1">+SUMIFS(Segments!132:132,Segments!$3:$3,'Segments USD'!Z$3)/Z$9</f>
        <v>0</v>
      </c>
      <c r="AA111" s="46">
        <f ca="1">+SUMIFS(Segments!132:132,Segments!$3:$3,'Segments USD'!AA$3)/AA$9</f>
        <v>0</v>
      </c>
      <c r="AB111" s="46">
        <f ca="1">+SUMIFS(Segments!132:132,Segments!$3:$3,'Segments USD'!AB$3)/AB$9</f>
        <v>0</v>
      </c>
      <c r="AC111" s="46">
        <f ca="1">+SUMIFS(Segments!132:132,Segments!$3:$3,'Segments USD'!AC$3)/AC$9</f>
        <v>0</v>
      </c>
      <c r="BB111" s="8" t="s">
        <v>75</v>
      </c>
    </row>
    <row r="112" spans="1:54" x14ac:dyDescent="0.2">
      <c r="B112" s="1" t="s">
        <v>139</v>
      </c>
      <c r="C112" s="45" t="s">
        <v>164</v>
      </c>
      <c r="G112" s="11">
        <f t="shared" ca="1" si="67"/>
        <v>0</v>
      </c>
      <c r="H112" s="11">
        <f t="shared" ca="1" si="67"/>
        <v>0</v>
      </c>
      <c r="I112" s="11">
        <f t="shared" si="68"/>
        <v>0</v>
      </c>
      <c r="J112" s="11">
        <f t="shared" si="68"/>
        <v>0</v>
      </c>
      <c r="K112" s="11">
        <f t="shared" si="68"/>
        <v>0</v>
      </c>
      <c r="L112" s="11">
        <f t="shared" si="68"/>
        <v>0</v>
      </c>
      <c r="M112" s="11">
        <f t="shared" si="68"/>
        <v>0</v>
      </c>
      <c r="N112" s="11">
        <f t="shared" si="68"/>
        <v>0</v>
      </c>
      <c r="O112" s="21"/>
      <c r="P112" s="21"/>
      <c r="Q112" s="21"/>
      <c r="V112" s="46">
        <f ca="1">+SUMIFS(Segments!133:133,Segments!$3:$3,'Segments USD'!V$3)/V$9</f>
        <v>0</v>
      </c>
      <c r="W112" s="46">
        <f ca="1">+SUMIFS(Segments!133:133,Segments!$3:$3,'Segments USD'!W$3)/W$9</f>
        <v>0</v>
      </c>
      <c r="X112" s="46">
        <f ca="1">+SUMIFS(Segments!133:133,Segments!$3:$3,'Segments USD'!X$3)/X$9</f>
        <v>0</v>
      </c>
      <c r="Y112" s="46">
        <f ca="1">+SUMIFS(Segments!133:133,Segments!$3:$3,'Segments USD'!Y$3)/Y$9</f>
        <v>0</v>
      </c>
      <c r="Z112" s="46">
        <f ca="1">+SUMIFS(Segments!133:133,Segments!$3:$3,'Segments USD'!Z$3)/Z$9</f>
        <v>0</v>
      </c>
      <c r="AA112" s="46">
        <f ca="1">+SUMIFS(Segments!133:133,Segments!$3:$3,'Segments USD'!AA$3)/AA$9</f>
        <v>0</v>
      </c>
      <c r="AB112" s="46">
        <f ca="1">+SUMIFS(Segments!133:133,Segments!$3:$3,'Segments USD'!AB$3)/AB$9</f>
        <v>0</v>
      </c>
      <c r="AC112" s="46">
        <f ca="1">+SUMIFS(Segments!133:133,Segments!$3:$3,'Segments USD'!AC$3)/AC$9</f>
        <v>0</v>
      </c>
      <c r="BB112" s="8" t="s">
        <v>75</v>
      </c>
    </row>
    <row r="113" spans="2:54" x14ac:dyDescent="0.2">
      <c r="B113" s="1" t="s">
        <v>14</v>
      </c>
      <c r="C113" s="45" t="s">
        <v>164</v>
      </c>
      <c r="G113" s="11">
        <f t="shared" ca="1" si="67"/>
        <v>0</v>
      </c>
      <c r="H113" s="11">
        <f t="shared" ca="1" si="67"/>
        <v>0</v>
      </c>
      <c r="I113" s="11">
        <f t="shared" si="68"/>
        <v>0</v>
      </c>
      <c r="J113" s="11">
        <f t="shared" si="68"/>
        <v>0</v>
      </c>
      <c r="K113" s="11">
        <f t="shared" si="68"/>
        <v>0</v>
      </c>
      <c r="L113" s="11">
        <f t="shared" si="68"/>
        <v>0</v>
      </c>
      <c r="M113" s="11">
        <f t="shared" si="68"/>
        <v>0</v>
      </c>
      <c r="N113" s="11">
        <f t="shared" si="68"/>
        <v>0</v>
      </c>
      <c r="O113" s="21"/>
      <c r="P113" s="21"/>
      <c r="Q113" s="21"/>
      <c r="V113" s="46">
        <f ca="1">+SUMIFS(Segments!134:134,Segments!$3:$3,'Segments USD'!V$3)/V$9</f>
        <v>0</v>
      </c>
      <c r="W113" s="46">
        <f ca="1">+SUMIFS(Segments!134:134,Segments!$3:$3,'Segments USD'!W$3)/W$9</f>
        <v>0</v>
      </c>
      <c r="X113" s="46">
        <f ca="1">+SUMIFS(Segments!134:134,Segments!$3:$3,'Segments USD'!X$3)/X$9</f>
        <v>0</v>
      </c>
      <c r="Y113" s="46">
        <f ca="1">+SUMIFS(Segments!134:134,Segments!$3:$3,'Segments USD'!Y$3)/Y$9</f>
        <v>0</v>
      </c>
      <c r="Z113" s="46">
        <f ca="1">+SUMIFS(Segments!134:134,Segments!$3:$3,'Segments USD'!Z$3)/Z$9</f>
        <v>0</v>
      </c>
      <c r="AA113" s="46">
        <f ca="1">+SUMIFS(Segments!134:134,Segments!$3:$3,'Segments USD'!AA$3)/AA$9</f>
        <v>0</v>
      </c>
      <c r="AB113" s="46">
        <f ca="1">+SUMIFS(Segments!134:134,Segments!$3:$3,'Segments USD'!AB$3)/AB$9</f>
        <v>0</v>
      </c>
      <c r="AC113" s="46">
        <f ca="1">+SUMIFS(Segments!134:134,Segments!$3:$3,'Segments USD'!AC$3)/AC$9</f>
        <v>0</v>
      </c>
      <c r="BB113" s="8" t="s">
        <v>75</v>
      </c>
    </row>
    <row r="114" spans="2:54" s="2" customFormat="1" x14ac:dyDescent="0.2">
      <c r="B114" s="18" t="s">
        <v>140</v>
      </c>
      <c r="C114" s="45" t="s">
        <v>164</v>
      </c>
      <c r="D114" s="18"/>
      <c r="E114" s="18"/>
      <c r="F114" s="18"/>
      <c r="G114" s="13">
        <f t="shared" ca="1" si="67"/>
        <v>0</v>
      </c>
      <c r="H114" s="13">
        <f t="shared" ca="1" si="67"/>
        <v>0</v>
      </c>
      <c r="I114" s="13">
        <f t="shared" si="68"/>
        <v>0</v>
      </c>
      <c r="J114" s="13">
        <f t="shared" si="68"/>
        <v>0</v>
      </c>
      <c r="K114" s="13">
        <f t="shared" si="68"/>
        <v>0</v>
      </c>
      <c r="L114" s="13">
        <f t="shared" si="68"/>
        <v>0</v>
      </c>
      <c r="M114" s="13">
        <f t="shared" si="68"/>
        <v>0</v>
      </c>
      <c r="N114" s="13">
        <f t="shared" si="68"/>
        <v>0</v>
      </c>
      <c r="O114" s="40"/>
      <c r="P114" s="40"/>
      <c r="Q114" s="40"/>
      <c r="R114" s="18"/>
      <c r="S114" s="18"/>
      <c r="T114" s="18"/>
      <c r="U114" s="18"/>
      <c r="V114" s="24">
        <f ca="1">+SUM(V108:V113)</f>
        <v>0</v>
      </c>
      <c r="W114" s="24">
        <f t="shared" ref="W114:AC114" ca="1" si="69">+SUM(W108:W113)</f>
        <v>0</v>
      </c>
      <c r="X114" s="24">
        <f t="shared" ca="1" si="69"/>
        <v>0</v>
      </c>
      <c r="Y114" s="24">
        <f t="shared" ca="1" si="69"/>
        <v>0</v>
      </c>
      <c r="Z114" s="24">
        <f t="shared" ca="1" si="69"/>
        <v>0</v>
      </c>
      <c r="AA114" s="24">
        <f t="shared" ca="1" si="69"/>
        <v>0</v>
      </c>
      <c r="AB114" s="24">
        <f t="shared" ca="1" si="69"/>
        <v>0</v>
      </c>
      <c r="AC114" s="24">
        <f t="shared" ca="1" si="69"/>
        <v>0</v>
      </c>
      <c r="BB114" s="83" t="s">
        <v>75</v>
      </c>
    </row>
    <row r="115" spans="2:54" s="25" customFormat="1" x14ac:dyDescent="0.2">
      <c r="B115" s="26" t="s">
        <v>141</v>
      </c>
      <c r="C115" s="45" t="s">
        <v>177</v>
      </c>
      <c r="D115" s="26"/>
      <c r="E115" s="26"/>
      <c r="F115" s="26"/>
      <c r="G115" s="42" t="str">
        <f ca="1">+IFERROR(G114/G108,"NM")</f>
        <v>NM</v>
      </c>
      <c r="H115" s="42" t="str">
        <f ca="1">+IFERROR(H114/H108,"NM")</f>
        <v>NM</v>
      </c>
      <c r="I115" s="42" t="str">
        <f t="shared" ref="I115:N115" si="70">+IFERROR(I114/I108,"NM")</f>
        <v>NM</v>
      </c>
      <c r="J115" s="42" t="str">
        <f t="shared" si="70"/>
        <v>NM</v>
      </c>
      <c r="K115" s="42" t="str">
        <f t="shared" si="70"/>
        <v>NM</v>
      </c>
      <c r="L115" s="42" t="str">
        <f t="shared" si="70"/>
        <v>NM</v>
      </c>
      <c r="M115" s="42" t="str">
        <f t="shared" si="70"/>
        <v>NM</v>
      </c>
      <c r="N115" s="42" t="str">
        <f t="shared" si="70"/>
        <v>NM</v>
      </c>
      <c r="O115" s="41"/>
      <c r="P115" s="41"/>
      <c r="Q115" s="41"/>
      <c r="R115" s="26"/>
      <c r="S115" s="26"/>
      <c r="T115" s="26"/>
      <c r="U115" s="26"/>
      <c r="V115" s="42" t="str">
        <f ca="1">+IFERROR(V114/V108,"NM")</f>
        <v>NM</v>
      </c>
      <c r="W115" s="42" t="str">
        <f t="shared" ref="W115:AC115" ca="1" si="71">+IFERROR(W114/W108,"NM")</f>
        <v>NM</v>
      </c>
      <c r="X115" s="42" t="str">
        <f t="shared" ca="1" si="71"/>
        <v>NM</v>
      </c>
      <c r="Y115" s="42" t="str">
        <f t="shared" ca="1" si="71"/>
        <v>NM</v>
      </c>
      <c r="Z115" s="42" t="str">
        <f t="shared" ca="1" si="71"/>
        <v>NM</v>
      </c>
      <c r="AA115" s="42" t="str">
        <f t="shared" ca="1" si="71"/>
        <v>NM</v>
      </c>
      <c r="AB115" s="42" t="str">
        <f t="shared" ca="1" si="71"/>
        <v>NM</v>
      </c>
      <c r="AC115" s="42" t="str">
        <f t="shared" ca="1" si="71"/>
        <v>NM</v>
      </c>
      <c r="BB115" s="88" t="s">
        <v>75</v>
      </c>
    </row>
    <row r="116" spans="2:54" x14ac:dyDescent="0.2">
      <c r="B116" s="1" t="s">
        <v>142</v>
      </c>
      <c r="C116" s="45" t="s">
        <v>164</v>
      </c>
      <c r="G116" s="11">
        <f ca="1">+SUMIFS(116:116,$6:$6,G$3)</f>
        <v>0</v>
      </c>
      <c r="H116" s="11">
        <f ca="1">+SUMIFS(116:116,$6:$6,H$3)</f>
        <v>0</v>
      </c>
      <c r="I116" s="11">
        <f t="shared" ref="I116:N117" si="72">+SUMIFS(116:116,$6:$6,I$3)</f>
        <v>0</v>
      </c>
      <c r="J116" s="11">
        <f t="shared" si="72"/>
        <v>0</v>
      </c>
      <c r="K116" s="11">
        <f t="shared" si="72"/>
        <v>0</v>
      </c>
      <c r="L116" s="11">
        <f t="shared" si="72"/>
        <v>0</v>
      </c>
      <c r="M116" s="11">
        <f t="shared" si="72"/>
        <v>0</v>
      </c>
      <c r="N116" s="11">
        <f t="shared" si="72"/>
        <v>0</v>
      </c>
      <c r="O116" s="21"/>
      <c r="P116" s="21"/>
      <c r="Q116" s="21"/>
      <c r="V116" s="46">
        <f ca="1">+SUMIFS(Segments!137:137,Segments!$3:$3,'Segments USD'!V$3)/V$9</f>
        <v>0</v>
      </c>
      <c r="W116" s="46">
        <f ca="1">+SUMIFS(Segments!137:137,Segments!$3:$3,'Segments USD'!W$3)/W$9</f>
        <v>0</v>
      </c>
      <c r="X116" s="46">
        <f ca="1">+SUMIFS(Segments!137:137,Segments!$3:$3,'Segments USD'!X$3)/X$9</f>
        <v>0</v>
      </c>
      <c r="Y116" s="46">
        <f ca="1">+SUMIFS(Segments!137:137,Segments!$3:$3,'Segments USD'!Y$3)/Y$9</f>
        <v>0</v>
      </c>
      <c r="Z116" s="46">
        <f ca="1">+SUMIFS(Segments!137:137,Segments!$3:$3,'Segments USD'!Z$3)/Z$9</f>
        <v>0</v>
      </c>
      <c r="AA116" s="46">
        <f ca="1">+SUMIFS(Segments!137:137,Segments!$3:$3,'Segments USD'!AA$3)/AA$9</f>
        <v>0</v>
      </c>
      <c r="AB116" s="46">
        <f ca="1">+SUMIFS(Segments!137:137,Segments!$3:$3,'Segments USD'!AB$3)/AB$9</f>
        <v>0</v>
      </c>
      <c r="AC116" s="46">
        <f ca="1">+SUMIFS(Segments!137:137,Segments!$3:$3,'Segments USD'!AC$3)/AC$9</f>
        <v>0</v>
      </c>
      <c r="BB116" s="8" t="s">
        <v>75</v>
      </c>
    </row>
    <row r="117" spans="2:54" s="2" customFormat="1" x14ac:dyDescent="0.2">
      <c r="B117" s="18" t="s">
        <v>4</v>
      </c>
      <c r="C117" s="45" t="s">
        <v>164</v>
      </c>
      <c r="D117" s="148">
        <f ca="1">+Ctrl!$G$56</f>
        <v>-70</v>
      </c>
      <c r="E117" s="18"/>
      <c r="F117" s="18"/>
      <c r="G117" s="13">
        <f ca="1">+SUMIFS(117:117,$6:$6,G$3)</f>
        <v>0</v>
      </c>
      <c r="H117" s="13">
        <f ca="1">+SUMIFS(117:117,$6:$6,H$3)</f>
        <v>0</v>
      </c>
      <c r="I117" s="13">
        <f t="shared" ca="1" si="72"/>
        <v>0</v>
      </c>
      <c r="J117" s="13">
        <f t="shared" ca="1" si="72"/>
        <v>0</v>
      </c>
      <c r="K117" s="13">
        <f t="shared" ca="1" si="72"/>
        <v>0</v>
      </c>
      <c r="L117" s="13">
        <f t="shared" ca="1" si="72"/>
        <v>0</v>
      </c>
      <c r="M117" s="13">
        <f t="shared" ca="1" si="72"/>
        <v>0</v>
      </c>
      <c r="N117" s="13">
        <f t="shared" ca="1" si="72"/>
        <v>0</v>
      </c>
      <c r="O117" s="40"/>
      <c r="P117" s="40"/>
      <c r="Q117" s="40"/>
      <c r="R117" s="18"/>
      <c r="S117" s="18"/>
      <c r="T117" s="18"/>
      <c r="U117" s="18"/>
      <c r="V117" s="148">
        <f ca="1">+SUMIFS(Segments!138:138,Segments!$3:$3,'Segments USD'!V$3)/V$9</f>
        <v>0</v>
      </c>
      <c r="W117" s="148">
        <f ca="1">+SUMIFS(Segments!138:138,Segments!$3:$3,'Segments USD'!W$3)/W$9</f>
        <v>0</v>
      </c>
      <c r="X117" s="148">
        <f ca="1">+SUMIFS(Segments!138:138,Segments!$3:$3,'Segments USD'!X$3)/X$9</f>
        <v>0</v>
      </c>
      <c r="Y117" s="148">
        <f ca="1">+SUMIFS(Segments!138:138,Segments!$3:$3,'Segments USD'!Y$3)/Y$9</f>
        <v>0</v>
      </c>
      <c r="Z117" s="148">
        <f ca="1">+SUMIFS(Segments!138:138,Segments!$3:$3,'Segments USD'!Z$3)/Z$9</f>
        <v>0</v>
      </c>
      <c r="AA117" s="148">
        <f ca="1">+SUMIFS(Segments!138:138,Segments!$3:$3,'Segments USD'!AA$3)/AA$9</f>
        <v>0</v>
      </c>
      <c r="AB117" s="148">
        <f ca="1">+SUMIFS(Segments!138:138,Segments!$3:$3,'Segments USD'!AB$3)/AB$9</f>
        <v>0</v>
      </c>
      <c r="AC117" s="148">
        <f ca="1">+SUMIFS(Segments!138:138,Segments!$3:$3,'Segments USD'!AC$3)/AC$9</f>
        <v>0</v>
      </c>
      <c r="AD117" s="148">
        <f ca="1">+SUMIFS(Segments!138:138,Segments!$3:$3,'Segments USD'!AD$3)/AD$9</f>
        <v>0</v>
      </c>
      <c r="AE117" s="148">
        <f ca="1">+SUMIFS(Segments!138:138,Segments!$3:$3,'Segments USD'!AE$3)/AE$9</f>
        <v>0</v>
      </c>
      <c r="AF117" s="148">
        <f ca="1">+SUMIFS(Segments!138:138,Segments!$3:$3,'Segments USD'!AF$3)/AF$9</f>
        <v>0</v>
      </c>
      <c r="AG117" s="148">
        <f ca="1">+SUMIFS(Segments!138:138,Segments!$3:$3,'Segments USD'!AG$3)/AG$9</f>
        <v>0</v>
      </c>
      <c r="AH117" s="148">
        <f ca="1">+SUMIFS(Segments!138:138,Segments!$3:$3,'Segments USD'!AH$3)/AH$9</f>
        <v>0</v>
      </c>
      <c r="AI117" s="148">
        <f ca="1">+SUMIFS(Segments!138:138,Segments!$3:$3,'Segments USD'!AI$3)/AI$9</f>
        <v>0</v>
      </c>
      <c r="AJ117" s="148">
        <f ca="1">+SUMIFS(Segments!138:138,Segments!$3:$3,'Segments USD'!AJ$3)/AJ$9</f>
        <v>0</v>
      </c>
      <c r="AK117" s="148">
        <f ca="1">+SUMIFS(Segments!138:138,Segments!$3:$3,'Segments USD'!AK$3)/AK$9</f>
        <v>0</v>
      </c>
      <c r="AL117" s="148">
        <f ca="1">+SUMIFS(Segments!138:138,Segments!$3:$3,'Segments USD'!AL$3)/AL$9</f>
        <v>0</v>
      </c>
      <c r="AM117" s="148">
        <f ca="1">+SUMIFS(Segments!138:138,Segments!$3:$3,'Segments USD'!AM$3)/AM$9</f>
        <v>0</v>
      </c>
      <c r="AN117" s="148">
        <f ca="1">+SUMIFS(Segments!138:138,Segments!$3:$3,'Segments USD'!AN$3)/AN$9</f>
        <v>0</v>
      </c>
      <c r="AO117" s="148">
        <f ca="1">+SUMIFS(Segments!138:138,Segments!$3:$3,'Segments USD'!AO$3)/AO$9</f>
        <v>0</v>
      </c>
      <c r="AP117" s="148">
        <f ca="1">+SUMIFS(Segments!138:138,Segments!$3:$3,'Segments USD'!AP$3)/AP$9</f>
        <v>0</v>
      </c>
      <c r="AQ117" s="148">
        <f ca="1">+SUMIFS(Segments!138:138,Segments!$3:$3,'Segments USD'!AQ$3)/AQ$9</f>
        <v>0</v>
      </c>
      <c r="AR117" s="148">
        <f ca="1">+SUMIFS(Segments!138:138,Segments!$3:$3,'Segments USD'!AR$3)/AR$9</f>
        <v>0</v>
      </c>
      <c r="AS117" s="148">
        <f ca="1">+SUMIFS(Segments!138:138,Segments!$3:$3,'Segments USD'!AS$3)/AS$9</f>
        <v>0</v>
      </c>
      <c r="AT117" s="148">
        <f ca="1">+SUMIFS(Segments!138:138,Segments!$3:$3,'Segments USD'!AT$3)/AT$9</f>
        <v>0</v>
      </c>
      <c r="AU117" s="148">
        <f ca="1">+SUMIFS(Segments!138:138,Segments!$3:$3,'Segments USD'!AU$3)/AU$9</f>
        <v>0</v>
      </c>
      <c r="AV117" s="148">
        <f ca="1">+SUMIFS(Segments!138:138,Segments!$3:$3,'Segments USD'!AV$3)/AV$9</f>
        <v>0</v>
      </c>
      <c r="AW117" s="148">
        <f ca="1">+SUMIFS(Segments!138:138,Segments!$3:$3,'Segments USD'!AW$3)/AW$9</f>
        <v>0</v>
      </c>
      <c r="AX117" s="148">
        <f ca="1">+SUMIFS(Segments!138:138,Segments!$3:$3,'Segments USD'!AX$3)/AX$9</f>
        <v>0</v>
      </c>
      <c r="AY117" s="148">
        <f ca="1">+SUMIFS(Segments!138:138,Segments!$3:$3,'Segments USD'!AY$3)/AY$9</f>
        <v>0</v>
      </c>
      <c r="AZ117" s="148">
        <f ca="1">+SUMIFS(Segments!138:138,Segments!$3:$3,'Segments USD'!AZ$3)/AZ$9</f>
        <v>0</v>
      </c>
      <c r="BA117" s="148">
        <f ca="1">+SUMIFS(Segments!138:138,Segments!$3:$3,'Segments USD'!BA$3)/BA$9</f>
        <v>0</v>
      </c>
      <c r="BB117" s="83" t="s">
        <v>75</v>
      </c>
    </row>
    <row r="118" spans="2:54" s="25" customFormat="1" x14ac:dyDescent="0.2">
      <c r="B118" s="26" t="s">
        <v>141</v>
      </c>
      <c r="C118" s="45" t="s">
        <v>177</v>
      </c>
      <c r="D118" s="26"/>
      <c r="E118" s="26"/>
      <c r="F118" s="26"/>
      <c r="G118" s="42" t="str">
        <f ca="1">+IFERROR(G117/G108,"NM")</f>
        <v>NM</v>
      </c>
      <c r="H118" s="42" t="str">
        <f ca="1">+IFERROR(H117/H108,"NM")</f>
        <v>NM</v>
      </c>
      <c r="I118" s="42" t="str">
        <f t="shared" ref="I118:N118" ca="1" si="73">+IFERROR(I117/I108,"NM")</f>
        <v>NM</v>
      </c>
      <c r="J118" s="42" t="str">
        <f t="shared" ca="1" si="73"/>
        <v>NM</v>
      </c>
      <c r="K118" s="42" t="str">
        <f t="shared" ca="1" si="73"/>
        <v>NM</v>
      </c>
      <c r="L118" s="42" t="str">
        <f t="shared" ca="1" si="73"/>
        <v>NM</v>
      </c>
      <c r="M118" s="42" t="str">
        <f t="shared" ca="1" si="73"/>
        <v>NM</v>
      </c>
      <c r="N118" s="42" t="str">
        <f t="shared" ca="1" si="73"/>
        <v>NM</v>
      </c>
      <c r="O118" s="41"/>
      <c r="P118" s="41"/>
      <c r="Q118" s="41"/>
      <c r="R118" s="26"/>
      <c r="S118" s="26"/>
      <c r="T118" s="26"/>
      <c r="U118" s="26"/>
      <c r="V118" s="42" t="str">
        <f ca="1">+IFERROR(V117/V108,"NM")</f>
        <v>NM</v>
      </c>
      <c r="W118" s="42" t="str">
        <f t="shared" ref="W118:AC118" ca="1" si="74">+IFERROR(W117/W108,"NM")</f>
        <v>NM</v>
      </c>
      <c r="X118" s="42" t="str">
        <f t="shared" ca="1" si="74"/>
        <v>NM</v>
      </c>
      <c r="Y118" s="42" t="str">
        <f t="shared" ca="1" si="74"/>
        <v>NM</v>
      </c>
      <c r="Z118" s="42" t="str">
        <f t="shared" ca="1" si="74"/>
        <v>NM</v>
      </c>
      <c r="AA118" s="42" t="str">
        <f t="shared" ca="1" si="74"/>
        <v>NM</v>
      </c>
      <c r="AB118" s="42" t="str">
        <f t="shared" ca="1" si="74"/>
        <v>NM</v>
      </c>
      <c r="AC118" s="42" t="str">
        <f t="shared" ca="1" si="74"/>
        <v>NM</v>
      </c>
      <c r="BB118" s="88"/>
    </row>
    <row r="119" spans="2:54" x14ac:dyDescent="0.2">
      <c r="G119" s="11"/>
      <c r="H119" s="11"/>
      <c r="I119" s="11"/>
      <c r="J119" s="11"/>
      <c r="K119" s="11"/>
      <c r="L119" s="11"/>
      <c r="M119" s="11"/>
      <c r="N119" s="11"/>
      <c r="O119" s="21"/>
      <c r="P119" s="21"/>
      <c r="Q119" s="21"/>
      <c r="V119" s="14"/>
      <c r="W119" s="14"/>
      <c r="X119" s="14"/>
      <c r="Y119" s="14"/>
      <c r="Z119" s="14"/>
      <c r="AA119" s="14"/>
      <c r="AB119" s="14"/>
      <c r="AC119" s="14"/>
      <c r="BB119" s="8"/>
    </row>
  </sheetData>
  <conditionalFormatting sqref="C1">
    <cfRule type="cellIs" dxfId="23" priority="2" operator="equal">
      <formula>"OK"</formula>
    </cfRule>
  </conditionalFormatting>
  <conditionalFormatting sqref="C1">
    <cfRule type="cellIs" dxfId="22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1332A-A0BA-4D5D-A794-4B273228A0CC}">
  <sheetPr>
    <tabColor theme="5" tint="0.79998168889431442"/>
  </sheetPr>
  <dimension ref="A1:BE100"/>
  <sheetViews>
    <sheetView zoomScale="85" zoomScaleNormal="85" workbookViewId="0">
      <pane xSplit="4" ySplit="3" topLeftCell="E4" activePane="bottomRight" state="frozen"/>
      <selection activeCell="E6" sqref="E6"/>
      <selection pane="topRight" activeCell="E6" sqref="E6"/>
      <selection pane="bottomLeft" activeCell="E6" sqref="E6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hidden="1" customWidth="1" outlineLevel="1"/>
    <col min="7" max="7" width="9.140625" style="1" collapsed="1"/>
    <col min="8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7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7" s="5" customFormat="1" ht="16.5" x14ac:dyDescent="0.3">
      <c r="A2" s="6" t="s">
        <v>229</v>
      </c>
      <c r="D2" s="211">
        <f ca="1">+Ctrl!G10</f>
        <v>0.32102203236261162</v>
      </c>
    </row>
    <row r="3" spans="1:57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AC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ref="AD3:BA3" si="2">+MONTH(AD5)/3&amp;"Q"&amp;RIGHT(YEAR(AD5),2)</f>
        <v>1Q21</v>
      </c>
      <c r="AE3" s="8" t="str">
        <f t="shared" si="2"/>
        <v>2Q21</v>
      </c>
      <c r="AF3" s="8" t="str">
        <f t="shared" si="2"/>
        <v>3Q21</v>
      </c>
      <c r="AG3" s="8" t="str">
        <f t="shared" si="2"/>
        <v>4Q21</v>
      </c>
      <c r="AH3" s="8" t="str">
        <f t="shared" si="2"/>
        <v>1Q22</v>
      </c>
      <c r="AI3" s="8" t="str">
        <f t="shared" si="2"/>
        <v>2Q22</v>
      </c>
      <c r="AJ3" s="8" t="str">
        <f t="shared" si="2"/>
        <v>3Q22</v>
      </c>
      <c r="AK3" s="8" t="str">
        <f t="shared" si="2"/>
        <v>4Q22</v>
      </c>
      <c r="AL3" s="8" t="str">
        <f t="shared" si="2"/>
        <v>1Q23</v>
      </c>
      <c r="AM3" s="8" t="str">
        <f t="shared" si="2"/>
        <v>2Q23</v>
      </c>
      <c r="AN3" s="8" t="str">
        <f t="shared" si="2"/>
        <v>3Q23</v>
      </c>
      <c r="AO3" s="8" t="str">
        <f t="shared" si="2"/>
        <v>4Q23</v>
      </c>
      <c r="AP3" s="8" t="str">
        <f t="shared" si="2"/>
        <v>1Q24</v>
      </c>
      <c r="AQ3" s="8" t="str">
        <f t="shared" si="2"/>
        <v>2Q24</v>
      </c>
      <c r="AR3" s="8" t="str">
        <f t="shared" si="2"/>
        <v>3Q24</v>
      </c>
      <c r="AS3" s="8" t="str">
        <f t="shared" si="2"/>
        <v>4Q24</v>
      </c>
      <c r="AT3" s="8" t="str">
        <f t="shared" si="2"/>
        <v>1Q25</v>
      </c>
      <c r="AU3" s="8" t="str">
        <f t="shared" si="2"/>
        <v>2Q25</v>
      </c>
      <c r="AV3" s="8" t="str">
        <f t="shared" si="2"/>
        <v>3Q25</v>
      </c>
      <c r="AW3" s="8" t="str">
        <f t="shared" si="2"/>
        <v>4Q25</v>
      </c>
      <c r="AX3" s="8" t="str">
        <f t="shared" si="2"/>
        <v>1Q26</v>
      </c>
      <c r="AY3" s="8" t="str">
        <f t="shared" si="2"/>
        <v>2Q26</v>
      </c>
      <c r="AZ3" s="8" t="str">
        <f t="shared" si="2"/>
        <v>3Q26</v>
      </c>
      <c r="BA3" s="8" t="str">
        <f t="shared" si="2"/>
        <v>4Q26</v>
      </c>
      <c r="BB3" s="8" t="s">
        <v>75</v>
      </c>
    </row>
    <row r="4" spans="1:57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3">+H5+1</f>
        <v>44197</v>
      </c>
      <c r="J4" s="7">
        <f t="shared" si="3"/>
        <v>44562</v>
      </c>
      <c r="K4" s="7">
        <f t="shared" si="3"/>
        <v>44927</v>
      </c>
      <c r="L4" s="7">
        <f t="shared" si="3"/>
        <v>45292</v>
      </c>
      <c r="M4" s="7">
        <f t="shared" si="3"/>
        <v>45658</v>
      </c>
      <c r="N4" s="7">
        <f t="shared" si="3"/>
        <v>46023</v>
      </c>
      <c r="R4" s="10">
        <v>43101</v>
      </c>
      <c r="S4" s="7">
        <f t="shared" ref="S4:Y4" si="4">+R5+1</f>
        <v>43191</v>
      </c>
      <c r="T4" s="7">
        <f t="shared" si="4"/>
        <v>43282</v>
      </c>
      <c r="U4" s="7">
        <f t="shared" si="4"/>
        <v>43374</v>
      </c>
      <c r="V4" s="7">
        <f t="shared" si="4"/>
        <v>43466</v>
      </c>
      <c r="W4" s="7">
        <f t="shared" si="4"/>
        <v>43556</v>
      </c>
      <c r="X4" s="7">
        <f t="shared" si="4"/>
        <v>43647</v>
      </c>
      <c r="Y4" s="7">
        <f t="shared" si="4"/>
        <v>43739</v>
      </c>
      <c r="Z4" s="7">
        <f t="shared" ref="Z4:BA4" si="5">+Y5+1</f>
        <v>43831</v>
      </c>
      <c r="AA4" s="7">
        <f t="shared" si="5"/>
        <v>43922</v>
      </c>
      <c r="AB4" s="7">
        <f t="shared" si="5"/>
        <v>44013</v>
      </c>
      <c r="AC4" s="7">
        <f t="shared" si="5"/>
        <v>44105</v>
      </c>
      <c r="AD4" s="7">
        <f t="shared" si="5"/>
        <v>44197</v>
      </c>
      <c r="AE4" s="7">
        <f t="shared" si="5"/>
        <v>44287</v>
      </c>
      <c r="AF4" s="7">
        <f t="shared" si="5"/>
        <v>44378</v>
      </c>
      <c r="AG4" s="7">
        <f t="shared" si="5"/>
        <v>44470</v>
      </c>
      <c r="AH4" s="7">
        <f t="shared" si="5"/>
        <v>44562</v>
      </c>
      <c r="AI4" s="7">
        <f t="shared" si="5"/>
        <v>44652</v>
      </c>
      <c r="AJ4" s="7">
        <f t="shared" si="5"/>
        <v>44743</v>
      </c>
      <c r="AK4" s="7">
        <f t="shared" si="5"/>
        <v>44835</v>
      </c>
      <c r="AL4" s="7">
        <f t="shared" si="5"/>
        <v>44927</v>
      </c>
      <c r="AM4" s="7">
        <f t="shared" si="5"/>
        <v>45017</v>
      </c>
      <c r="AN4" s="7">
        <f t="shared" si="5"/>
        <v>45108</v>
      </c>
      <c r="AO4" s="7">
        <f t="shared" si="5"/>
        <v>45200</v>
      </c>
      <c r="AP4" s="7">
        <f t="shared" si="5"/>
        <v>45292</v>
      </c>
      <c r="AQ4" s="7">
        <f t="shared" si="5"/>
        <v>45383</v>
      </c>
      <c r="AR4" s="7">
        <f t="shared" si="5"/>
        <v>45474</v>
      </c>
      <c r="AS4" s="7">
        <f t="shared" si="5"/>
        <v>45566</v>
      </c>
      <c r="AT4" s="7">
        <f t="shared" si="5"/>
        <v>45658</v>
      </c>
      <c r="AU4" s="7">
        <f t="shared" si="5"/>
        <v>45748</v>
      </c>
      <c r="AV4" s="7">
        <f t="shared" si="5"/>
        <v>45839</v>
      </c>
      <c r="AW4" s="7">
        <f t="shared" si="5"/>
        <v>45931</v>
      </c>
      <c r="AX4" s="7">
        <f t="shared" si="5"/>
        <v>46023</v>
      </c>
      <c r="AY4" s="7">
        <f t="shared" si="5"/>
        <v>46113</v>
      </c>
      <c r="AZ4" s="7">
        <f t="shared" si="5"/>
        <v>46204</v>
      </c>
      <c r="BA4" s="7">
        <f t="shared" si="5"/>
        <v>46296</v>
      </c>
      <c r="BB4" s="8" t="s">
        <v>75</v>
      </c>
    </row>
    <row r="5" spans="1:57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6">+EOMONTH(I4,11)</f>
        <v>44561</v>
      </c>
      <c r="J5" s="7">
        <f t="shared" si="6"/>
        <v>44926</v>
      </c>
      <c r="K5" s="7">
        <f t="shared" si="6"/>
        <v>45291</v>
      </c>
      <c r="L5" s="7">
        <f t="shared" si="6"/>
        <v>45657</v>
      </c>
      <c r="M5" s="7">
        <f t="shared" si="6"/>
        <v>46022</v>
      </c>
      <c r="N5" s="7">
        <f t="shared" si="6"/>
        <v>46387</v>
      </c>
      <c r="R5" s="7">
        <f t="shared" ref="R5:Y5" si="7">+EOMONTH(R4,2)</f>
        <v>43190</v>
      </c>
      <c r="S5" s="7">
        <f t="shared" si="7"/>
        <v>43281</v>
      </c>
      <c r="T5" s="7">
        <f t="shared" si="7"/>
        <v>43373</v>
      </c>
      <c r="U5" s="7">
        <f t="shared" si="7"/>
        <v>43465</v>
      </c>
      <c r="V5" s="7">
        <f t="shared" si="7"/>
        <v>43555</v>
      </c>
      <c r="W5" s="7">
        <f t="shared" si="7"/>
        <v>43646</v>
      </c>
      <c r="X5" s="7">
        <f t="shared" si="7"/>
        <v>43738</v>
      </c>
      <c r="Y5" s="7">
        <f t="shared" si="7"/>
        <v>43830</v>
      </c>
      <c r="Z5" s="7">
        <f t="shared" ref="Z5:BA5" si="8">+EOMONTH(Z4,2)</f>
        <v>43921</v>
      </c>
      <c r="AA5" s="7">
        <f t="shared" si="8"/>
        <v>44012</v>
      </c>
      <c r="AB5" s="7">
        <f t="shared" si="8"/>
        <v>44104</v>
      </c>
      <c r="AC5" s="7">
        <f t="shared" si="8"/>
        <v>44196</v>
      </c>
      <c r="AD5" s="7">
        <f t="shared" si="8"/>
        <v>44286</v>
      </c>
      <c r="AE5" s="7">
        <f t="shared" si="8"/>
        <v>44377</v>
      </c>
      <c r="AF5" s="7">
        <f t="shared" si="8"/>
        <v>44469</v>
      </c>
      <c r="AG5" s="7">
        <f t="shared" si="8"/>
        <v>44561</v>
      </c>
      <c r="AH5" s="7">
        <f t="shared" si="8"/>
        <v>44651</v>
      </c>
      <c r="AI5" s="7">
        <f t="shared" si="8"/>
        <v>44742</v>
      </c>
      <c r="AJ5" s="7">
        <f t="shared" si="8"/>
        <v>44834</v>
      </c>
      <c r="AK5" s="7">
        <f t="shared" si="8"/>
        <v>44926</v>
      </c>
      <c r="AL5" s="7">
        <f t="shared" si="8"/>
        <v>45016</v>
      </c>
      <c r="AM5" s="7">
        <f t="shared" si="8"/>
        <v>45107</v>
      </c>
      <c r="AN5" s="7">
        <f t="shared" si="8"/>
        <v>45199</v>
      </c>
      <c r="AO5" s="7">
        <f t="shared" si="8"/>
        <v>45291</v>
      </c>
      <c r="AP5" s="7">
        <f t="shared" si="8"/>
        <v>45382</v>
      </c>
      <c r="AQ5" s="7">
        <f t="shared" si="8"/>
        <v>45473</v>
      </c>
      <c r="AR5" s="7">
        <f t="shared" si="8"/>
        <v>45565</v>
      </c>
      <c r="AS5" s="7">
        <f t="shared" si="8"/>
        <v>45657</v>
      </c>
      <c r="AT5" s="7">
        <f t="shared" si="8"/>
        <v>45747</v>
      </c>
      <c r="AU5" s="7">
        <f t="shared" si="8"/>
        <v>45838</v>
      </c>
      <c r="AV5" s="7">
        <f t="shared" si="8"/>
        <v>45930</v>
      </c>
      <c r="AW5" s="7">
        <f t="shared" si="8"/>
        <v>46022</v>
      </c>
      <c r="AX5" s="7">
        <f t="shared" si="8"/>
        <v>46112</v>
      </c>
      <c r="AY5" s="7">
        <f t="shared" si="8"/>
        <v>46203</v>
      </c>
      <c r="AZ5" s="7">
        <f t="shared" si="8"/>
        <v>46295</v>
      </c>
      <c r="BA5" s="7">
        <f t="shared" si="8"/>
        <v>46387</v>
      </c>
      <c r="BB5" s="8" t="s">
        <v>75</v>
      </c>
    </row>
    <row r="6" spans="1:57" outlineLevel="1" x14ac:dyDescent="0.2">
      <c r="A6" s="1" t="s">
        <v>0</v>
      </c>
      <c r="R6" s="1">
        <f>+YEAR(R5)</f>
        <v>2018</v>
      </c>
      <c r="S6" s="1">
        <f t="shared" ref="S6:BA6" si="9">+YEAR(S5)</f>
        <v>2018</v>
      </c>
      <c r="T6" s="1">
        <f t="shared" si="9"/>
        <v>2018</v>
      </c>
      <c r="U6" s="1">
        <f t="shared" si="9"/>
        <v>2018</v>
      </c>
      <c r="V6" s="1">
        <f t="shared" si="9"/>
        <v>2019</v>
      </c>
      <c r="W6" s="1">
        <f t="shared" si="9"/>
        <v>2019</v>
      </c>
      <c r="X6" s="1">
        <f t="shared" si="9"/>
        <v>2019</v>
      </c>
      <c r="Y6" s="1">
        <f t="shared" si="9"/>
        <v>2019</v>
      </c>
      <c r="Z6" s="1">
        <f t="shared" si="9"/>
        <v>2020</v>
      </c>
      <c r="AA6" s="1">
        <f t="shared" si="9"/>
        <v>2020</v>
      </c>
      <c r="AB6" s="1">
        <f t="shared" si="9"/>
        <v>2020</v>
      </c>
      <c r="AC6" s="1">
        <f t="shared" si="9"/>
        <v>2020</v>
      </c>
      <c r="AD6" s="1">
        <f t="shared" si="9"/>
        <v>2021</v>
      </c>
      <c r="AE6" s="1">
        <f t="shared" si="9"/>
        <v>2021</v>
      </c>
      <c r="AF6" s="1">
        <f t="shared" si="9"/>
        <v>2021</v>
      </c>
      <c r="AG6" s="1">
        <f t="shared" si="9"/>
        <v>2021</v>
      </c>
      <c r="AH6" s="1">
        <f t="shared" si="9"/>
        <v>2022</v>
      </c>
      <c r="AI6" s="1">
        <f t="shared" si="9"/>
        <v>2022</v>
      </c>
      <c r="AJ6" s="1">
        <f t="shared" si="9"/>
        <v>2022</v>
      </c>
      <c r="AK6" s="1">
        <f t="shared" si="9"/>
        <v>2022</v>
      </c>
      <c r="AL6" s="1">
        <f t="shared" si="9"/>
        <v>2023</v>
      </c>
      <c r="AM6" s="1">
        <f t="shared" si="9"/>
        <v>2023</v>
      </c>
      <c r="AN6" s="1">
        <f t="shared" si="9"/>
        <v>2023</v>
      </c>
      <c r="AO6" s="1">
        <f t="shared" si="9"/>
        <v>2023</v>
      </c>
      <c r="AP6" s="1">
        <f t="shared" si="9"/>
        <v>2024</v>
      </c>
      <c r="AQ6" s="1">
        <f t="shared" si="9"/>
        <v>2024</v>
      </c>
      <c r="AR6" s="1">
        <f t="shared" si="9"/>
        <v>2024</v>
      </c>
      <c r="AS6" s="1">
        <f t="shared" si="9"/>
        <v>2024</v>
      </c>
      <c r="AT6" s="1">
        <f t="shared" si="9"/>
        <v>2025</v>
      </c>
      <c r="AU6" s="1">
        <f t="shared" si="9"/>
        <v>2025</v>
      </c>
      <c r="AV6" s="1">
        <f t="shared" si="9"/>
        <v>2025</v>
      </c>
      <c r="AW6" s="1">
        <f t="shared" si="9"/>
        <v>2025</v>
      </c>
      <c r="AX6" s="1">
        <f t="shared" si="9"/>
        <v>2026</v>
      </c>
      <c r="AY6" s="1">
        <f t="shared" si="9"/>
        <v>2026</v>
      </c>
      <c r="AZ6" s="1">
        <f t="shared" si="9"/>
        <v>2026</v>
      </c>
      <c r="BA6" s="1">
        <f t="shared" si="9"/>
        <v>2026</v>
      </c>
      <c r="BB6" s="8" t="s">
        <v>75</v>
      </c>
    </row>
    <row r="7" spans="1:57" s="3" customFormat="1" x14ac:dyDescent="0.2">
      <c r="A7" s="17" t="s">
        <v>75</v>
      </c>
      <c r="B7" s="3" t="s">
        <v>233</v>
      </c>
      <c r="BB7" s="117" t="s">
        <v>75</v>
      </c>
    </row>
    <row r="8" spans="1:57" s="25" customFormat="1" x14ac:dyDescent="0.2">
      <c r="B8" s="25" t="s">
        <v>234</v>
      </c>
      <c r="C8" s="116" t="s">
        <v>177</v>
      </c>
      <c r="E8" s="110"/>
      <c r="F8" s="110"/>
      <c r="G8" s="110"/>
      <c r="H8" s="110"/>
      <c r="I8" s="110"/>
      <c r="J8" s="110"/>
      <c r="R8" s="110"/>
      <c r="S8" s="110"/>
      <c r="T8" s="110"/>
      <c r="U8" s="30"/>
      <c r="V8" s="30">
        <f t="shared" ref="V8:AC8" si="10">+V33/SUMIFS(33:33,6:6,V6)</f>
        <v>0.19424630746329086</v>
      </c>
      <c r="W8" s="30">
        <f t="shared" si="10"/>
        <v>0.26547473205029598</v>
      </c>
      <c r="X8" s="30">
        <f t="shared" si="10"/>
        <v>0.34690998272106316</v>
      </c>
      <c r="Y8" s="30">
        <f t="shared" si="10"/>
        <v>0.19336897776535011</v>
      </c>
      <c r="Z8" s="30">
        <f t="shared" si="10"/>
        <v>0.19585778884585914</v>
      </c>
      <c r="AA8" s="30">
        <f t="shared" si="10"/>
        <v>0.31789426690251021</v>
      </c>
      <c r="AB8" s="30">
        <f t="shared" si="10"/>
        <v>0.31144755642768535</v>
      </c>
      <c r="AC8" s="30">
        <f t="shared" si="10"/>
        <v>0.1748003878239453</v>
      </c>
      <c r="AD8" s="111">
        <f>+AVERAGE(Z8,V8)</f>
        <v>0.195052048154575</v>
      </c>
      <c r="AE8" s="111">
        <f>+AVERAGE(AA8,W8)</f>
        <v>0.29168449947640307</v>
      </c>
      <c r="AF8" s="111">
        <f>+AVERAGE(AB8,X8)</f>
        <v>0.32917876957437425</v>
      </c>
      <c r="AG8" s="111">
        <f>+AVERAGE(AC8,Y8)</f>
        <v>0.18408468279464771</v>
      </c>
      <c r="AH8" s="70">
        <f>+AD8</f>
        <v>0.195052048154575</v>
      </c>
      <c r="AI8" s="70">
        <f t="shared" ref="AI8:BA8" si="11">+AE8</f>
        <v>0.29168449947640307</v>
      </c>
      <c r="AJ8" s="70">
        <f t="shared" si="11"/>
        <v>0.32917876957437425</v>
      </c>
      <c r="AK8" s="70">
        <f t="shared" si="11"/>
        <v>0.18408468279464771</v>
      </c>
      <c r="AL8" s="70">
        <f t="shared" si="11"/>
        <v>0.195052048154575</v>
      </c>
      <c r="AM8" s="70">
        <f t="shared" si="11"/>
        <v>0.29168449947640307</v>
      </c>
      <c r="AN8" s="70">
        <f t="shared" si="11"/>
        <v>0.32917876957437425</v>
      </c>
      <c r="AO8" s="70">
        <f t="shared" si="11"/>
        <v>0.18408468279464771</v>
      </c>
      <c r="AP8" s="70">
        <f t="shared" si="11"/>
        <v>0.195052048154575</v>
      </c>
      <c r="AQ8" s="70">
        <f t="shared" si="11"/>
        <v>0.29168449947640307</v>
      </c>
      <c r="AR8" s="70">
        <f t="shared" si="11"/>
        <v>0.32917876957437425</v>
      </c>
      <c r="AS8" s="70">
        <f t="shared" si="11"/>
        <v>0.18408468279464771</v>
      </c>
      <c r="AT8" s="70">
        <f t="shared" si="11"/>
        <v>0.195052048154575</v>
      </c>
      <c r="AU8" s="70">
        <f t="shared" si="11"/>
        <v>0.29168449947640307</v>
      </c>
      <c r="AV8" s="70">
        <f t="shared" si="11"/>
        <v>0.32917876957437425</v>
      </c>
      <c r="AW8" s="70">
        <f t="shared" si="11"/>
        <v>0.18408468279464771</v>
      </c>
      <c r="AX8" s="70">
        <f t="shared" si="11"/>
        <v>0.195052048154575</v>
      </c>
      <c r="AY8" s="70">
        <f t="shared" si="11"/>
        <v>0.29168449947640307</v>
      </c>
      <c r="AZ8" s="70">
        <f t="shared" si="11"/>
        <v>0.32917876957437425</v>
      </c>
      <c r="BA8" s="70">
        <f t="shared" si="11"/>
        <v>0.18408468279464771</v>
      </c>
      <c r="BB8" s="8" t="s">
        <v>75</v>
      </c>
    </row>
    <row r="9" spans="1:57" x14ac:dyDescent="0.2">
      <c r="E9" s="67"/>
      <c r="F9" s="67"/>
      <c r="G9" s="67"/>
      <c r="H9" s="67"/>
      <c r="I9" s="67"/>
      <c r="BB9" s="8" t="s">
        <v>75</v>
      </c>
    </row>
    <row r="10" spans="1:57" s="3" customFormat="1" x14ac:dyDescent="0.2">
      <c r="A10" s="17" t="s">
        <v>75</v>
      </c>
      <c r="B10" s="3" t="s">
        <v>6</v>
      </c>
      <c r="BB10" s="117" t="s">
        <v>75</v>
      </c>
    </row>
    <row r="11" spans="1:57" s="35" customFormat="1" x14ac:dyDescent="0.2">
      <c r="A11" s="17" t="s">
        <v>75</v>
      </c>
      <c r="B11" s="36" t="s">
        <v>5</v>
      </c>
      <c r="C11" s="36"/>
      <c r="D11" s="36"/>
      <c r="E11" s="36"/>
      <c r="F11" s="36"/>
      <c r="G11" s="36"/>
      <c r="H11" s="37"/>
      <c r="I11" s="37"/>
      <c r="J11" s="37"/>
      <c r="K11" s="37"/>
      <c r="L11" s="37"/>
      <c r="M11" s="37"/>
      <c r="N11" s="37"/>
      <c r="O11" s="37"/>
      <c r="P11" s="37"/>
      <c r="Q11" s="37"/>
      <c r="U11" s="37"/>
      <c r="V11" s="37"/>
      <c r="W11" s="37"/>
      <c r="X11" s="37"/>
      <c r="Y11" s="44"/>
      <c r="Z11" s="44"/>
      <c r="AA11" s="44"/>
      <c r="AB11" s="44"/>
      <c r="AC11" s="44"/>
      <c r="AD11" s="44"/>
      <c r="AE11" s="44"/>
      <c r="AF11" s="44"/>
      <c r="BB11" s="90" t="s">
        <v>75</v>
      </c>
      <c r="BE11" s="90"/>
    </row>
    <row r="12" spans="1:57" s="2" customFormat="1" x14ac:dyDescent="0.2">
      <c r="B12" s="34" t="s">
        <v>17</v>
      </c>
      <c r="C12" s="45" t="s">
        <v>201</v>
      </c>
      <c r="D12" s="34"/>
      <c r="E12" s="11"/>
      <c r="F12" s="11"/>
      <c r="G12" s="13">
        <f t="shared" ref="G12:N15" si="12">+SUMIFS(12:12,$6:$6,G$3)</f>
        <v>4337.4387420000003</v>
      </c>
      <c r="H12" s="13">
        <f t="shared" si="12"/>
        <v>6331.0911839999999</v>
      </c>
      <c r="I12" s="13">
        <f t="shared" ca="1" si="12"/>
        <v>6891.7743113334627</v>
      </c>
      <c r="J12" s="13">
        <f t="shared" ca="1" si="12"/>
        <v>7496.2844948345301</v>
      </c>
      <c r="K12" s="13">
        <f t="shared" ca="1" si="12"/>
        <v>8147.6678986011884</v>
      </c>
      <c r="L12" s="13">
        <f t="shared" ca="1" si="12"/>
        <v>8849.1692007038291</v>
      </c>
      <c r="M12" s="13">
        <f t="shared" ca="1" si="12"/>
        <v>9604.2440133645068</v>
      </c>
      <c r="N12" s="13">
        <f t="shared" ca="1" si="12"/>
        <v>10360.880658332933</v>
      </c>
      <c r="P12" s="97">
        <f ca="1">+(N12/I12)^(1/5)-1</f>
        <v>8.4958495687075919E-2</v>
      </c>
      <c r="R12" s="24">
        <f>+SUM(R13:R15)</f>
        <v>513.376713</v>
      </c>
      <c r="S12" s="24">
        <f>+SUM(S13:S15)</f>
        <v>1105.9087079999999</v>
      </c>
      <c r="T12" s="24">
        <f>+SUM(T13:T15)</f>
        <v>1197.4353640000002</v>
      </c>
      <c r="U12" s="24">
        <f>+SUM(U13:U15)</f>
        <v>743.71120100000007</v>
      </c>
      <c r="V12" s="24">
        <f>+SUM(V13:V15)</f>
        <v>963.06323999999995</v>
      </c>
      <c r="W12" s="24">
        <f t="shared" ref="W12:BA12" si="13">+SUM(W13:W15)</f>
        <v>1104.72498</v>
      </c>
      <c r="X12" s="24">
        <f t="shared" si="13"/>
        <v>1595.4731100000001</v>
      </c>
      <c r="Y12" s="24">
        <f t="shared" si="13"/>
        <v>674.177412</v>
      </c>
      <c r="Z12" s="24">
        <f t="shared" si="13"/>
        <v>1413.4486900000004</v>
      </c>
      <c r="AA12" s="24">
        <f t="shared" si="13"/>
        <v>2079.7927159999999</v>
      </c>
      <c r="AB12" s="24">
        <f t="shared" si="13"/>
        <v>1958.1253479999996</v>
      </c>
      <c r="AC12" s="24">
        <f t="shared" si="13"/>
        <v>879.7244300000001</v>
      </c>
      <c r="AD12" s="24">
        <f t="shared" ca="1" si="13"/>
        <v>1538.6076489244267</v>
      </c>
      <c r="AE12" s="24">
        <f t="shared" ca="1" si="13"/>
        <v>2253.7561184518891</v>
      </c>
      <c r="AF12" s="24">
        <f t="shared" ca="1" si="13"/>
        <v>2133.7656040621487</v>
      </c>
      <c r="AG12" s="24">
        <f t="shared" ca="1" si="13"/>
        <v>965.64493989499806</v>
      </c>
      <c r="AH12" s="24">
        <f t="shared" ca="1" si="13"/>
        <v>1673.5499390304913</v>
      </c>
      <c r="AI12" s="24">
        <f t="shared" ca="1" si="13"/>
        <v>2441.3177610481303</v>
      </c>
      <c r="AJ12" s="24">
        <f t="shared" ca="1" si="13"/>
        <v>2323.1351752979831</v>
      </c>
      <c r="AK12" s="24">
        <f t="shared" ca="1" si="13"/>
        <v>1058.2816194579268</v>
      </c>
      <c r="AL12" s="24">
        <f t="shared" ca="1" si="13"/>
        <v>1818.9555428406388</v>
      </c>
      <c r="AM12" s="24">
        <f t="shared" ca="1" si="13"/>
        <v>2643.4227784736786</v>
      </c>
      <c r="AN12" s="24">
        <f t="shared" ca="1" si="13"/>
        <v>2527.188306656376</v>
      </c>
      <c r="AO12" s="24">
        <f t="shared" ca="1" si="13"/>
        <v>1158.1012706304944</v>
      </c>
      <c r="AP12" s="24">
        <f t="shared" ca="1" si="13"/>
        <v>1975.5487563244433</v>
      </c>
      <c r="AQ12" s="24">
        <f t="shared" ca="1" si="13"/>
        <v>2861.0778984317049</v>
      </c>
      <c r="AR12" s="24">
        <f t="shared" ca="1" si="13"/>
        <v>2746.941429806735</v>
      </c>
      <c r="AS12" s="24">
        <f t="shared" ca="1" si="13"/>
        <v>1265.6011161409458</v>
      </c>
      <c r="AT12" s="24">
        <f t="shared" ca="1" si="13"/>
        <v>2144.100961403482</v>
      </c>
      <c r="AU12" s="24">
        <f t="shared" ca="1" si="13"/>
        <v>3095.3552952581149</v>
      </c>
      <c r="AV12" s="24">
        <f t="shared" ca="1" si="13"/>
        <v>2983.4770538989592</v>
      </c>
      <c r="AW12" s="24">
        <f t="shared" ca="1" si="13"/>
        <v>1381.3107028039499</v>
      </c>
      <c r="AX12" s="24">
        <f t="shared" ca="1" si="13"/>
        <v>2313.0018078025873</v>
      </c>
      <c r="AY12" s="24">
        <f t="shared" ca="1" si="13"/>
        <v>3330.117282486965</v>
      </c>
      <c r="AZ12" s="24">
        <f t="shared" ca="1" si="13"/>
        <v>3220.5019394172655</v>
      </c>
      <c r="BA12" s="24">
        <f t="shared" ca="1" si="13"/>
        <v>1497.2596286261164</v>
      </c>
      <c r="BB12" s="8" t="s">
        <v>75</v>
      </c>
    </row>
    <row r="13" spans="1:57" x14ac:dyDescent="0.2">
      <c r="B13" s="19" t="s">
        <v>11</v>
      </c>
      <c r="C13" s="45" t="s">
        <v>201</v>
      </c>
      <c r="D13" s="19"/>
      <c r="E13" s="11"/>
      <c r="F13" s="11"/>
      <c r="G13" s="11">
        <f t="shared" si="12"/>
        <v>3527.2346000000007</v>
      </c>
      <c r="H13" s="11">
        <f t="shared" si="12"/>
        <v>5144.7331690000001</v>
      </c>
      <c r="I13" s="11">
        <f t="shared" ca="1" si="12"/>
        <v>5680.2490881880522</v>
      </c>
      <c r="J13" s="11">
        <f t="shared" ca="1" si="12"/>
        <v>6257.6248121833642</v>
      </c>
      <c r="K13" s="11">
        <f t="shared" ca="1" si="12"/>
        <v>6879.7697728689418</v>
      </c>
      <c r="L13" s="11">
        <f t="shared" ca="1" si="12"/>
        <v>7549.783005465627</v>
      </c>
      <c r="M13" s="11">
        <f t="shared" ca="1" si="12"/>
        <v>8270.9650112106319</v>
      </c>
      <c r="N13" s="11">
        <f t="shared" ca="1" si="12"/>
        <v>8993.6387437851608</v>
      </c>
      <c r="P13" s="97">
        <f ca="1">+(N13/I13)^(1/5)-1</f>
        <v>9.6260110176681568E-2</v>
      </c>
      <c r="R13" s="12">
        <v>500.37006000000002</v>
      </c>
      <c r="S13" s="12">
        <v>772.82811000000004</v>
      </c>
      <c r="T13" s="12">
        <v>1036.2882400000001</v>
      </c>
      <c r="U13" s="12">
        <v>611.66106000000002</v>
      </c>
      <c r="V13" s="12">
        <v>777.19600000000003</v>
      </c>
      <c r="W13" s="12">
        <v>832.73099999999999</v>
      </c>
      <c r="X13" s="12">
        <v>1351.9665200000002</v>
      </c>
      <c r="Y13" s="12">
        <v>565.34108000000003</v>
      </c>
      <c r="Z13" s="12">
        <v>1161.7867300000005</v>
      </c>
      <c r="AA13" s="12">
        <v>1611.2918579999998</v>
      </c>
      <c r="AB13" s="12">
        <v>1677.2220499999996</v>
      </c>
      <c r="AC13" s="12">
        <v>694.43253100000015</v>
      </c>
      <c r="AD13" s="23">
        <f t="shared" ref="AD13:BA13" ca="1" si="14">+Z13*(1+AD21)</f>
        <v>1282.7172560699003</v>
      </c>
      <c r="AE13" s="23">
        <f t="shared" ca="1" si="14"/>
        <v>1779.0114290783215</v>
      </c>
      <c r="AF13" s="23">
        <f t="shared" ca="1" si="14"/>
        <v>1851.804303011734</v>
      </c>
      <c r="AG13" s="23">
        <f t="shared" ca="1" si="14"/>
        <v>766.716100028097</v>
      </c>
      <c r="AH13" s="23">
        <f t="shared" ca="1" si="14"/>
        <v>1413.100588368605</v>
      </c>
      <c r="AI13" s="23">
        <f t="shared" ca="1" si="14"/>
        <v>1959.8411771955266</v>
      </c>
      <c r="AJ13" s="23">
        <f t="shared" ca="1" si="14"/>
        <v>2040.033170012018</v>
      </c>
      <c r="AK13" s="23">
        <f t="shared" ca="1" si="14"/>
        <v>844.64987660721465</v>
      </c>
      <c r="AL13" s="23">
        <f t="shared" ca="1" si="14"/>
        <v>1553.5937365489933</v>
      </c>
      <c r="AM13" s="23">
        <f t="shared" ca="1" si="14"/>
        <v>2154.6923146050985</v>
      </c>
      <c r="AN13" s="23">
        <f t="shared" ca="1" si="14"/>
        <v>2242.857147870729</v>
      </c>
      <c r="AO13" s="23">
        <f t="shared" ca="1" si="14"/>
        <v>928.62657384412068</v>
      </c>
      <c r="AP13" s="23">
        <f t="shared" ca="1" si="14"/>
        <v>1704.8965266034161</v>
      </c>
      <c r="AQ13" s="23">
        <f t="shared" ca="1" si="14"/>
        <v>2364.5354359044568</v>
      </c>
      <c r="AR13" s="23">
        <f t="shared" ca="1" si="14"/>
        <v>2461.2865455845404</v>
      </c>
      <c r="AS13" s="23">
        <f t="shared" ca="1" si="14"/>
        <v>1019.0644973732132</v>
      </c>
      <c r="AT13" s="23">
        <f t="shared" ca="1" si="14"/>
        <v>1867.7542797008794</v>
      </c>
      <c r="AU13" s="23">
        <f t="shared" ca="1" si="14"/>
        <v>2590.4042333369398</v>
      </c>
      <c r="AV13" s="23">
        <f t="shared" ca="1" si="14"/>
        <v>2696.3973516001342</v>
      </c>
      <c r="AW13" s="23">
        <f t="shared" ca="1" si="14"/>
        <v>1116.409146572679</v>
      </c>
      <c r="AX13" s="23">
        <f t="shared" ca="1" si="14"/>
        <v>2030.9488954457131</v>
      </c>
      <c r="AY13" s="23">
        <f t="shared" ca="1" si="14"/>
        <v>2816.7402284288178</v>
      </c>
      <c r="AZ13" s="23">
        <f t="shared" ca="1" si="14"/>
        <v>2931.9944718809897</v>
      </c>
      <c r="BA13" s="23">
        <f t="shared" ca="1" si="14"/>
        <v>1213.9551480296393</v>
      </c>
      <c r="BB13" s="8" t="s">
        <v>75</v>
      </c>
    </row>
    <row r="14" spans="1:57" x14ac:dyDescent="0.2">
      <c r="B14" s="19" t="s">
        <v>12</v>
      </c>
      <c r="C14" s="45" t="s">
        <v>201</v>
      </c>
      <c r="D14" s="19"/>
      <c r="E14" s="11"/>
      <c r="F14" s="11"/>
      <c r="G14" s="11">
        <f t="shared" si="12"/>
        <v>341.36425199999996</v>
      </c>
      <c r="H14" s="11">
        <f t="shared" si="12"/>
        <v>241.78286</v>
      </c>
      <c r="I14" s="11">
        <f t="shared" ca="1" si="12"/>
        <v>266.95006814540972</v>
      </c>
      <c r="J14" s="11">
        <f t="shared" ca="1" si="12"/>
        <v>294.08452765116704</v>
      </c>
      <c r="K14" s="11">
        <f t="shared" ca="1" si="12"/>
        <v>323.32297073224618</v>
      </c>
      <c r="L14" s="11">
        <f t="shared" ca="1" si="12"/>
        <v>354.81104023820262</v>
      </c>
      <c r="M14" s="11">
        <f t="shared" ca="1" si="12"/>
        <v>388.70384715387337</v>
      </c>
      <c r="N14" s="11">
        <f t="shared" ca="1" si="12"/>
        <v>422.66675954777452</v>
      </c>
      <c r="P14" s="97">
        <f ca="1">+(N14/I14)^(1/5)-1</f>
        <v>9.6260110176681568E-2</v>
      </c>
      <c r="R14" s="12">
        <v>3.3256930000000002</v>
      </c>
      <c r="S14" s="12">
        <v>140.47992799999997</v>
      </c>
      <c r="T14" s="12">
        <v>99.358124000000004</v>
      </c>
      <c r="U14" s="12">
        <v>129.54614100000001</v>
      </c>
      <c r="V14" s="12">
        <v>68.197239999999994</v>
      </c>
      <c r="W14" s="12">
        <v>93.983000000000004</v>
      </c>
      <c r="X14" s="12">
        <v>71.123680000000007</v>
      </c>
      <c r="Y14" s="12">
        <v>108.06033199999999</v>
      </c>
      <c r="Z14" s="12">
        <v>40.622805</v>
      </c>
      <c r="AA14" s="12">
        <v>59.984858000000003</v>
      </c>
      <c r="AB14" s="12">
        <v>10.164298</v>
      </c>
      <c r="AC14" s="12">
        <v>131.01089899999999</v>
      </c>
      <c r="AD14" s="23">
        <f ca="1">+Z14*(1+AD22)</f>
        <v>44.851237854526538</v>
      </c>
      <c r="AE14" s="23">
        <f t="shared" ref="AE14:BA14" ca="1" si="15">+AA14*(1+AE22)</f>
        <v>66.228689373567363</v>
      </c>
      <c r="AF14" s="23">
        <f t="shared" ca="1" si="15"/>
        <v>11.222301050414623</v>
      </c>
      <c r="AG14" s="23">
        <f t="shared" ca="1" si="15"/>
        <v>144.64783986690117</v>
      </c>
      <c r="AH14" s="23">
        <f t="shared" ca="1" si="15"/>
        <v>49.41019566188632</v>
      </c>
      <c r="AI14" s="23">
        <f t="shared" ca="1" si="15"/>
        <v>72.960583852603648</v>
      </c>
      <c r="AJ14" s="23">
        <f t="shared" ca="1" si="15"/>
        <v>12.363005285964862</v>
      </c>
      <c r="AK14" s="23">
        <f t="shared" ca="1" si="15"/>
        <v>159.35074285071218</v>
      </c>
      <c r="AL14" s="23">
        <f t="shared" ca="1" si="15"/>
        <v>54.322651291645506</v>
      </c>
      <c r="AM14" s="23">
        <f t="shared" ca="1" si="15"/>
        <v>80.214463868580026</v>
      </c>
      <c r="AN14" s="23">
        <f t="shared" ca="1" si="15"/>
        <v>13.592158785646877</v>
      </c>
      <c r="AO14" s="23">
        <f t="shared" ca="1" si="15"/>
        <v>175.19369678637375</v>
      </c>
      <c r="AP14" s="23">
        <f t="shared" ca="1" si="15"/>
        <v>59.613074721027211</v>
      </c>
      <c r="AQ14" s="23">
        <f t="shared" ca="1" si="15"/>
        <v>88.026462527248086</v>
      </c>
      <c r="AR14" s="23">
        <f t="shared" ca="1" si="15"/>
        <v>14.915884222194588</v>
      </c>
      <c r="AS14" s="23">
        <f t="shared" ca="1" si="15"/>
        <v>192.25561876773273</v>
      </c>
      <c r="AT14" s="23">
        <f t="shared" ca="1" si="15"/>
        <v>65.307526702602516</v>
      </c>
      <c r="AU14" s="23">
        <f t="shared" ca="1" si="15"/>
        <v>96.435061921175048</v>
      </c>
      <c r="AV14" s="23">
        <f t="shared" ca="1" si="15"/>
        <v>16.340702298824745</v>
      </c>
      <c r="AW14" s="23">
        <f t="shared" ca="1" si="15"/>
        <v>210.62055623127105</v>
      </c>
      <c r="AX14" s="23">
        <f t="shared" ca="1" si="15"/>
        <v>71.013757356874407</v>
      </c>
      <c r="AY14" s="23">
        <f t="shared" ca="1" si="15"/>
        <v>104.86105405814705</v>
      </c>
      <c r="AZ14" s="23">
        <f t="shared" ca="1" si="15"/>
        <v>17.768467536275839</v>
      </c>
      <c r="BA14" s="23">
        <f t="shared" ca="1" si="15"/>
        <v>229.02348059647721</v>
      </c>
      <c r="BB14" s="8" t="s">
        <v>75</v>
      </c>
    </row>
    <row r="15" spans="1:57" x14ac:dyDescent="0.2">
      <c r="B15" s="19" t="s">
        <v>130</v>
      </c>
      <c r="C15" s="45" t="s">
        <v>201</v>
      </c>
      <c r="D15" s="19"/>
      <c r="E15" s="11"/>
      <c r="F15" s="11"/>
      <c r="G15" s="11">
        <f t="shared" si="12"/>
        <v>468.83989000000003</v>
      </c>
      <c r="H15" s="11">
        <f t="shared" si="12"/>
        <v>944.575155</v>
      </c>
      <c r="I15" s="11">
        <f t="shared" si="12"/>
        <v>944.575155</v>
      </c>
      <c r="J15" s="11">
        <f t="shared" si="12"/>
        <v>944.575155</v>
      </c>
      <c r="K15" s="11">
        <f t="shared" si="12"/>
        <v>944.575155</v>
      </c>
      <c r="L15" s="11">
        <f t="shared" si="12"/>
        <v>944.575155</v>
      </c>
      <c r="M15" s="11">
        <f t="shared" si="12"/>
        <v>944.575155</v>
      </c>
      <c r="N15" s="11">
        <f t="shared" si="12"/>
        <v>944.575155</v>
      </c>
      <c r="P15" s="97">
        <f>+(N15/I15)^(1/5)-1</f>
        <v>0</v>
      </c>
      <c r="R15" s="12">
        <v>9.6809600000000007</v>
      </c>
      <c r="S15" s="12">
        <v>192.60067000000001</v>
      </c>
      <c r="T15" s="12">
        <v>61.789000000000001</v>
      </c>
      <c r="U15" s="12">
        <v>2.504</v>
      </c>
      <c r="V15" s="12">
        <v>117.67</v>
      </c>
      <c r="W15" s="12">
        <v>178.01098000000002</v>
      </c>
      <c r="X15" s="12">
        <v>172.38290999999998</v>
      </c>
      <c r="Y15" s="12">
        <v>0.77600000000000002</v>
      </c>
      <c r="Z15" s="12">
        <v>211.03915499999999</v>
      </c>
      <c r="AA15" s="12">
        <v>408.51600000000002</v>
      </c>
      <c r="AB15" s="12">
        <v>270.73899999999998</v>
      </c>
      <c r="AC15" s="12">
        <v>54.280999999999999</v>
      </c>
      <c r="AD15" s="11">
        <f>+Z15</f>
        <v>211.03915499999999</v>
      </c>
      <c r="AE15" s="11">
        <f t="shared" ref="AE15:BA15" si="16">+AA15</f>
        <v>408.51600000000002</v>
      </c>
      <c r="AF15" s="11">
        <f t="shared" si="16"/>
        <v>270.73899999999998</v>
      </c>
      <c r="AG15" s="11">
        <f t="shared" si="16"/>
        <v>54.280999999999999</v>
      </c>
      <c r="AH15" s="11">
        <f t="shared" si="16"/>
        <v>211.03915499999999</v>
      </c>
      <c r="AI15" s="11">
        <f t="shared" si="16"/>
        <v>408.51600000000002</v>
      </c>
      <c r="AJ15" s="11">
        <f t="shared" si="16"/>
        <v>270.73899999999998</v>
      </c>
      <c r="AK15" s="11">
        <f t="shared" si="16"/>
        <v>54.280999999999999</v>
      </c>
      <c r="AL15" s="11">
        <f t="shared" si="16"/>
        <v>211.03915499999999</v>
      </c>
      <c r="AM15" s="11">
        <f t="shared" si="16"/>
        <v>408.51600000000002</v>
      </c>
      <c r="AN15" s="11">
        <f t="shared" si="16"/>
        <v>270.73899999999998</v>
      </c>
      <c r="AO15" s="11">
        <f t="shared" si="16"/>
        <v>54.280999999999999</v>
      </c>
      <c r="AP15" s="11">
        <f t="shared" si="16"/>
        <v>211.03915499999999</v>
      </c>
      <c r="AQ15" s="11">
        <f t="shared" si="16"/>
        <v>408.51600000000002</v>
      </c>
      <c r="AR15" s="11">
        <f t="shared" si="16"/>
        <v>270.73899999999998</v>
      </c>
      <c r="AS15" s="11">
        <f t="shared" si="16"/>
        <v>54.280999999999999</v>
      </c>
      <c r="AT15" s="11">
        <f t="shared" si="16"/>
        <v>211.03915499999999</v>
      </c>
      <c r="AU15" s="11">
        <f t="shared" si="16"/>
        <v>408.51600000000002</v>
      </c>
      <c r="AV15" s="11">
        <f t="shared" si="16"/>
        <v>270.73899999999998</v>
      </c>
      <c r="AW15" s="11">
        <f t="shared" si="16"/>
        <v>54.280999999999999</v>
      </c>
      <c r="AX15" s="11">
        <f t="shared" si="16"/>
        <v>211.03915499999999</v>
      </c>
      <c r="AY15" s="11">
        <f t="shared" si="16"/>
        <v>408.51600000000002</v>
      </c>
      <c r="AZ15" s="11">
        <f t="shared" si="16"/>
        <v>270.73899999999998</v>
      </c>
      <c r="BA15" s="11">
        <f t="shared" si="16"/>
        <v>54.280999999999999</v>
      </c>
      <c r="BB15" s="8" t="s">
        <v>75</v>
      </c>
    </row>
    <row r="16" spans="1:57" x14ac:dyDescent="0.2">
      <c r="B16" s="19"/>
      <c r="C16" s="19"/>
      <c r="D16" s="19"/>
      <c r="E16" s="11"/>
      <c r="F16" s="11"/>
      <c r="G16" s="11"/>
      <c r="H16" s="11"/>
      <c r="I16" s="11"/>
      <c r="J16" s="11"/>
      <c r="K16" s="11"/>
      <c r="L16" s="11"/>
      <c r="M16" s="11"/>
      <c r="N16" s="11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BB16" s="8" t="s">
        <v>75</v>
      </c>
    </row>
    <row r="17" spans="1:57" s="25" customFormat="1" x14ac:dyDescent="0.2">
      <c r="B17" s="26" t="s">
        <v>242</v>
      </c>
      <c r="C17" s="45" t="s">
        <v>177</v>
      </c>
      <c r="D17" s="26"/>
      <c r="E17" s="11"/>
      <c r="F17" s="11"/>
      <c r="G17" s="30">
        <f t="shared" ref="G17:N17" si="17">+G14/G13</f>
        <v>9.6779571168869774E-2</v>
      </c>
      <c r="H17" s="30">
        <f t="shared" si="17"/>
        <v>4.699619048406279E-2</v>
      </c>
      <c r="I17" s="30">
        <f t="shared" ca="1" si="17"/>
        <v>4.6996190484062797E-2</v>
      </c>
      <c r="J17" s="30">
        <f t="shared" ca="1" si="17"/>
        <v>4.699619048406279E-2</v>
      </c>
      <c r="K17" s="30">
        <f t="shared" ca="1" si="17"/>
        <v>4.699619048406279E-2</v>
      </c>
      <c r="L17" s="30">
        <f t="shared" ca="1" si="17"/>
        <v>4.6996190484062783E-2</v>
      </c>
      <c r="M17" s="30">
        <f t="shared" ca="1" si="17"/>
        <v>4.699619048406279E-2</v>
      </c>
      <c r="N17" s="30">
        <f t="shared" ca="1" si="17"/>
        <v>4.6996190484062783E-2</v>
      </c>
      <c r="R17" s="30">
        <f>+R14/R13</f>
        <v>6.6464668169794175E-3</v>
      </c>
      <c r="S17" s="30">
        <f t="shared" ref="S17:BA17" si="18">+S14/S13</f>
        <v>0.18177383325251972</v>
      </c>
      <c r="T17" s="30">
        <f t="shared" si="18"/>
        <v>9.5878849305478936E-2</v>
      </c>
      <c r="U17" s="30">
        <f t="shared" si="18"/>
        <v>0.21179399747958452</v>
      </c>
      <c r="V17" s="30">
        <f t="shared" si="18"/>
        <v>8.7747801069485681E-2</v>
      </c>
      <c r="W17" s="30">
        <f t="shared" si="18"/>
        <v>0.11286117605805476</v>
      </c>
      <c r="X17" s="30">
        <f t="shared" si="18"/>
        <v>5.2607574927225266E-2</v>
      </c>
      <c r="Y17" s="30">
        <f t="shared" si="18"/>
        <v>0.1911418360045585</v>
      </c>
      <c r="Z17" s="30">
        <f t="shared" si="18"/>
        <v>3.4965802200202428E-2</v>
      </c>
      <c r="AA17" s="30">
        <f t="shared" si="18"/>
        <v>3.7227804324944345E-2</v>
      </c>
      <c r="AB17" s="30">
        <f t="shared" si="18"/>
        <v>6.0601981711366137E-3</v>
      </c>
      <c r="AC17" s="30">
        <f t="shared" si="18"/>
        <v>0.1886589310718797</v>
      </c>
      <c r="AD17" s="30">
        <f t="shared" ca="1" si="18"/>
        <v>3.4965802200202428E-2</v>
      </c>
      <c r="AE17" s="30">
        <f t="shared" ca="1" si="18"/>
        <v>3.7227804324944345E-2</v>
      </c>
      <c r="AF17" s="30">
        <f t="shared" ca="1" si="18"/>
        <v>6.0601981711366146E-3</v>
      </c>
      <c r="AG17" s="30">
        <f t="shared" ca="1" si="18"/>
        <v>0.1886589310718797</v>
      </c>
      <c r="AH17" s="30">
        <f t="shared" ca="1" si="18"/>
        <v>3.4965802200202428E-2</v>
      </c>
      <c r="AI17" s="30">
        <f t="shared" ca="1" si="18"/>
        <v>3.7227804324944345E-2</v>
      </c>
      <c r="AJ17" s="30">
        <f t="shared" ca="1" si="18"/>
        <v>6.0601981711366146E-3</v>
      </c>
      <c r="AK17" s="30">
        <f t="shared" ca="1" si="18"/>
        <v>0.18865893107187967</v>
      </c>
      <c r="AL17" s="30">
        <f t="shared" ca="1" si="18"/>
        <v>3.4965802200202428E-2</v>
      </c>
      <c r="AM17" s="30">
        <f t="shared" ca="1" si="18"/>
        <v>3.7227804324944345E-2</v>
      </c>
      <c r="AN17" s="30">
        <f t="shared" ca="1" si="18"/>
        <v>6.0601981711366154E-3</v>
      </c>
      <c r="AO17" s="30">
        <f t="shared" ca="1" si="18"/>
        <v>0.18865893107187967</v>
      </c>
      <c r="AP17" s="30">
        <f t="shared" ca="1" si="18"/>
        <v>3.4965802200202435E-2</v>
      </c>
      <c r="AQ17" s="30">
        <f t="shared" ca="1" si="18"/>
        <v>3.7227804324944339E-2</v>
      </c>
      <c r="AR17" s="30">
        <f t="shared" ca="1" si="18"/>
        <v>6.0601981711366146E-3</v>
      </c>
      <c r="AS17" s="30">
        <f t="shared" ca="1" si="18"/>
        <v>0.18865893107187967</v>
      </c>
      <c r="AT17" s="30">
        <f t="shared" ca="1" si="18"/>
        <v>3.4965802200202435E-2</v>
      </c>
      <c r="AU17" s="30">
        <f t="shared" ca="1" si="18"/>
        <v>3.7227804324944339E-2</v>
      </c>
      <c r="AV17" s="30">
        <f t="shared" ca="1" si="18"/>
        <v>6.0601981711366146E-3</v>
      </c>
      <c r="AW17" s="30">
        <f t="shared" ca="1" si="18"/>
        <v>0.18865893107187967</v>
      </c>
      <c r="AX17" s="30">
        <f t="shared" ca="1" si="18"/>
        <v>3.4965802200202428E-2</v>
      </c>
      <c r="AY17" s="30">
        <f t="shared" ca="1" si="18"/>
        <v>3.7227804324944339E-2</v>
      </c>
      <c r="AZ17" s="30">
        <f t="shared" ca="1" si="18"/>
        <v>6.0601981711366146E-3</v>
      </c>
      <c r="BA17" s="30">
        <f t="shared" ca="1" si="18"/>
        <v>0.18865893107187967</v>
      </c>
      <c r="BB17" s="8" t="s">
        <v>75</v>
      </c>
    </row>
    <row r="18" spans="1:57" x14ac:dyDescent="0.2">
      <c r="B18" s="19"/>
      <c r="C18" s="19"/>
      <c r="D18" s="19"/>
      <c r="E18" s="11"/>
      <c r="F18" s="11"/>
      <c r="G18" s="27"/>
      <c r="H18" s="11"/>
      <c r="I18" s="11"/>
      <c r="J18" s="11"/>
      <c r="K18" s="11"/>
      <c r="L18" s="11"/>
      <c r="M18" s="11"/>
      <c r="N18" s="11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BB18" s="8" t="s">
        <v>75</v>
      </c>
    </row>
    <row r="19" spans="1:57" s="25" customFormat="1" x14ac:dyDescent="0.2">
      <c r="B19" s="33" t="s">
        <v>202</v>
      </c>
      <c r="C19" s="45" t="s">
        <v>177</v>
      </c>
      <c r="D19" s="33"/>
      <c r="E19" s="11"/>
      <c r="F19" s="11"/>
      <c r="G19" s="27"/>
      <c r="H19" s="30">
        <f t="shared" ref="H19:N19" si="19">+H12/G12-1</f>
        <v>0.45963817833211018</v>
      </c>
      <c r="I19" s="30">
        <f t="shared" ca="1" si="19"/>
        <v>8.8560267264895298E-2</v>
      </c>
      <c r="J19" s="30">
        <f t="shared" ca="1" si="19"/>
        <v>8.771473878750724E-2</v>
      </c>
      <c r="K19" s="30">
        <f t="shared" ca="1" si="19"/>
        <v>8.6894167932861643E-2</v>
      </c>
      <c r="L19" s="30">
        <f t="shared" ca="1" si="19"/>
        <v>8.6098416237985864E-2</v>
      </c>
      <c r="M19" s="30">
        <f t="shared" ca="1" si="19"/>
        <v>8.5327198015449968E-2</v>
      </c>
      <c r="N19" s="30">
        <f t="shared" ca="1" si="19"/>
        <v>7.8781489091234169E-2</v>
      </c>
      <c r="V19" s="30">
        <f t="shared" ref="V19:BA19" si="20">+V12/R12-1</f>
        <v>0.87593869299638438</v>
      </c>
      <c r="W19" s="30">
        <f t="shared" si="20"/>
        <v>-1.0703668317619819E-3</v>
      </c>
      <c r="X19" s="30">
        <f t="shared" si="20"/>
        <v>0.33240854409908671</v>
      </c>
      <c r="Y19" s="30">
        <f t="shared" si="20"/>
        <v>-9.3495686103025499E-2</v>
      </c>
      <c r="Z19" s="30">
        <f t="shared" si="20"/>
        <v>0.46765926814941094</v>
      </c>
      <c r="AA19" s="30">
        <f t="shared" si="20"/>
        <v>0.88263391672378044</v>
      </c>
      <c r="AB19" s="30">
        <f t="shared" si="20"/>
        <v>0.22730075218879708</v>
      </c>
      <c r="AC19" s="30">
        <f t="shared" si="20"/>
        <v>0.3048856492984966</v>
      </c>
      <c r="AD19" s="30">
        <f t="shared" ca="1" si="20"/>
        <v>8.8548639798467832E-2</v>
      </c>
      <c r="AE19" s="30">
        <f t="shared" ca="1" si="20"/>
        <v>8.3644586844436875E-2</v>
      </c>
      <c r="AF19" s="30">
        <f t="shared" ca="1" si="20"/>
        <v>8.9698167812160445E-2</v>
      </c>
      <c r="AG19" s="30">
        <f t="shared" ca="1" si="20"/>
        <v>9.7667527426739786E-2</v>
      </c>
      <c r="AH19" s="30">
        <f t="shared" ca="1" si="20"/>
        <v>8.7704159147003358E-2</v>
      </c>
      <c r="AI19" s="30">
        <f t="shared" ca="1" si="20"/>
        <v>8.3221800735510776E-2</v>
      </c>
      <c r="AJ19" s="30">
        <f t="shared" ca="1" si="20"/>
        <v>8.8749003580957053E-2</v>
      </c>
      <c r="AK19" s="30">
        <f t="shared" ca="1" si="20"/>
        <v>9.5932444458313837E-2</v>
      </c>
      <c r="AL19" s="30">
        <f t="shared" ca="1" si="20"/>
        <v>8.6884532345884447E-2</v>
      </c>
      <c r="AM19" s="30">
        <f t="shared" ca="1" si="20"/>
        <v>8.2785215693830239E-2</v>
      </c>
      <c r="AN19" s="30">
        <f t="shared" ca="1" si="20"/>
        <v>8.7835238142016214E-2</v>
      </c>
      <c r="AO19" s="30">
        <f t="shared" ca="1" si="20"/>
        <v>9.4322389557986552E-2</v>
      </c>
      <c r="AP19" s="30">
        <f t="shared" ca="1" si="20"/>
        <v>8.6089632096920221E-2</v>
      </c>
      <c r="AQ19" s="30">
        <f t="shared" ca="1" si="20"/>
        <v>8.2338368924739669E-2</v>
      </c>
      <c r="AR19" s="30">
        <f t="shared" ca="1" si="20"/>
        <v>8.6955579278184425E-2</v>
      </c>
      <c r="AS19" s="30">
        <f t="shared" ca="1" si="20"/>
        <v>9.2824218603893227E-2</v>
      </c>
      <c r="AT19" s="30">
        <f t="shared" ca="1" si="20"/>
        <v>8.5319182601513832E-2</v>
      </c>
      <c r="AU19" s="30">
        <f t="shared" ca="1" si="20"/>
        <v>8.1884312536484538E-2</v>
      </c>
      <c r="AV19" s="30">
        <f t="shared" ca="1" si="20"/>
        <v>8.610872497156441E-2</v>
      </c>
      <c r="AW19" s="30">
        <f t="shared" ca="1" si="20"/>
        <v>9.1426583927030736E-2</v>
      </c>
      <c r="AX19" s="30">
        <f t="shared" ca="1" si="20"/>
        <v>7.877467033480845E-2</v>
      </c>
      <c r="AY19" s="30">
        <f t="shared" ca="1" si="20"/>
        <v>7.5843308711116331E-2</v>
      </c>
      <c r="AZ19" s="30">
        <f t="shared" ca="1" si="20"/>
        <v>7.9445855032989066E-2</v>
      </c>
      <c r="BA19" s="30">
        <f t="shared" ca="1" si="20"/>
        <v>8.3941234645326102E-2</v>
      </c>
      <c r="BB19" s="8" t="s">
        <v>75</v>
      </c>
    </row>
    <row r="20" spans="1:57" s="25" customFormat="1" x14ac:dyDescent="0.2">
      <c r="B20" s="26" t="s">
        <v>211</v>
      </c>
      <c r="C20" s="45" t="s">
        <v>177</v>
      </c>
      <c r="D20" s="26"/>
      <c r="E20" s="11"/>
      <c r="F20" s="11"/>
      <c r="G20" s="27"/>
      <c r="H20" s="30">
        <f t="shared" ref="H20:N20" si="21">+SUM(H13:H14)/SUM(G13:G14)-1</f>
        <v>0.39236871928844774</v>
      </c>
      <c r="I20" s="30">
        <f t="shared" ca="1" si="21"/>
        <v>0.10409012510402804</v>
      </c>
      <c r="J20" s="30">
        <f t="shared" ca="1" si="21"/>
        <v>0.10164619808591691</v>
      </c>
      <c r="K20" s="30">
        <f t="shared" ca="1" si="21"/>
        <v>9.9421901976974425E-2</v>
      </c>
      <c r="L20" s="30">
        <f t="shared" ca="1" si="21"/>
        <v>9.7388903221580003E-2</v>
      </c>
      <c r="M20" s="30">
        <f t="shared" ca="1" si="21"/>
        <v>9.5523540904805859E-2</v>
      </c>
      <c r="N20" s="30">
        <f t="shared" ca="1" si="21"/>
        <v>8.7374778105699047E-2</v>
      </c>
      <c r="V20" s="30">
        <f t="shared" ref="V20:AC20" si="22">+SUM(V13:V14)/SUM(R13:R14)-1</f>
        <v>0.67838071884636264</v>
      </c>
      <c r="W20" s="30">
        <f t="shared" si="22"/>
        <v>1.4678467113195204E-2</v>
      </c>
      <c r="X20" s="30">
        <f t="shared" si="22"/>
        <v>0.25311033884488343</v>
      </c>
      <c r="Y20" s="30">
        <f t="shared" si="22"/>
        <v>-9.1480208109850802E-2</v>
      </c>
      <c r="Z20" s="30">
        <f t="shared" si="22"/>
        <v>0.4223079604942197</v>
      </c>
      <c r="AA20" s="30">
        <f t="shared" si="22"/>
        <v>0.80344390610263794</v>
      </c>
      <c r="AB20" s="30">
        <f t="shared" si="22"/>
        <v>0.1857198847971826</v>
      </c>
      <c r="AC20" s="30">
        <f t="shared" si="22"/>
        <v>0.22578214908762329</v>
      </c>
      <c r="AD20" s="30">
        <f t="shared" ref="AD20" ca="1" si="23">+SUM(AD13:AD14)/SUM(Z13:Z14)-1</f>
        <v>0.10409012510402804</v>
      </c>
      <c r="AE20" s="30">
        <f t="shared" ref="AE20" ca="1" si="24">+SUM(AE13:AE14)/SUM(AA13:AA14)-1</f>
        <v>0.10409012510402804</v>
      </c>
      <c r="AF20" s="30">
        <f t="shared" ref="AF20" ca="1" si="25">+SUM(AF13:AF14)/SUM(AB13:AB14)-1</f>
        <v>0.10409012510402804</v>
      </c>
      <c r="AG20" s="30">
        <f t="shared" ref="AG20" ca="1" si="26">+SUM(AG13:AG14)/SUM(AC13:AC14)-1</f>
        <v>0.10409012510402804</v>
      </c>
      <c r="AH20" s="30">
        <f t="shared" ref="AH20" ca="1" si="27">+SUM(AH13:AH14)/SUM(AD13:AD14)-1</f>
        <v>0.10164619808591691</v>
      </c>
      <c r="AI20" s="30">
        <f t="shared" ref="AI20" ca="1" si="28">+SUM(AI13:AI14)/SUM(AE13:AE14)-1</f>
        <v>0.10164619808591668</v>
      </c>
      <c r="AJ20" s="30">
        <f t="shared" ref="AJ20" ca="1" si="29">+SUM(AJ13:AJ14)/SUM(AF13:AF14)-1</f>
        <v>0.10164619808591691</v>
      </c>
      <c r="AK20" s="30">
        <f t="shared" ref="AK20" ca="1" si="30">+SUM(AK13:AK14)/SUM(AG13:AG14)-1</f>
        <v>0.10164619808591713</v>
      </c>
      <c r="AL20" s="30">
        <f t="shared" ref="AL20" ca="1" si="31">+SUM(AL13:AL14)/SUM(AH13:AH14)-1</f>
        <v>9.9421901976974425E-2</v>
      </c>
      <c r="AM20" s="30">
        <f t="shared" ref="AM20" ca="1" si="32">+SUM(AM13:AM14)/SUM(AI13:AI14)-1</f>
        <v>9.9421901976974425E-2</v>
      </c>
      <c r="AN20" s="30">
        <f t="shared" ref="AN20" ca="1" si="33">+SUM(AN13:AN14)/SUM(AJ13:AJ14)-1</f>
        <v>9.9421901976974203E-2</v>
      </c>
      <c r="AO20" s="30">
        <f t="shared" ref="AO20" ca="1" si="34">+SUM(AO13:AO14)/SUM(AK13:AK14)-1</f>
        <v>9.9421901976974425E-2</v>
      </c>
      <c r="AP20" s="30">
        <f t="shared" ref="AP20" ca="1" si="35">+SUM(AP13:AP14)/SUM(AL13:AL14)-1</f>
        <v>9.7388903221580003E-2</v>
      </c>
      <c r="AQ20" s="30">
        <f t="shared" ref="AQ20" ca="1" si="36">+SUM(AQ13:AQ14)/SUM(AM13:AM14)-1</f>
        <v>9.7388903221580003E-2</v>
      </c>
      <c r="AR20" s="30">
        <f t="shared" ref="AR20" ca="1" si="37">+SUM(AR13:AR14)/SUM(AN13:AN14)-1</f>
        <v>9.7388903221580003E-2</v>
      </c>
      <c r="AS20" s="30">
        <f t="shared" ref="AS20" ca="1" si="38">+SUM(AS13:AS14)/SUM(AO13:AO14)-1</f>
        <v>9.7388903221580003E-2</v>
      </c>
      <c r="AT20" s="30">
        <f t="shared" ref="AT20" ca="1" si="39">+SUM(AT13:AT14)/SUM(AP13:AP14)-1</f>
        <v>9.5523540904806081E-2</v>
      </c>
      <c r="AU20" s="30">
        <f t="shared" ref="AU20" ca="1" si="40">+SUM(AU13:AU14)/SUM(AQ13:AQ14)-1</f>
        <v>9.5523540904806081E-2</v>
      </c>
      <c r="AV20" s="30">
        <f t="shared" ref="AV20" ca="1" si="41">+SUM(AV13:AV14)/SUM(AR13:AR14)-1</f>
        <v>9.5523540904806303E-2</v>
      </c>
      <c r="AW20" s="30">
        <f t="shared" ref="AW20" ca="1" si="42">+SUM(AW13:AW14)/SUM(AS13:AS14)-1</f>
        <v>9.5523540904806081E-2</v>
      </c>
      <c r="AX20" s="30">
        <f t="shared" ref="AX20" ca="1" si="43">+SUM(AX13:AX14)/SUM(AT13:AT14)-1</f>
        <v>8.7374778105698825E-2</v>
      </c>
      <c r="AY20" s="30">
        <f t="shared" ref="AY20" ca="1" si="44">+SUM(AY13:AY14)/SUM(AU13:AU14)-1</f>
        <v>8.7374778105698825E-2</v>
      </c>
      <c r="AZ20" s="30">
        <f t="shared" ref="AZ20" ca="1" si="45">+SUM(AZ13:AZ14)/SUM(AV13:AV14)-1</f>
        <v>8.7374778105698603E-2</v>
      </c>
      <c r="BA20" s="30">
        <f t="shared" ref="BA20" ca="1" si="46">+SUM(BA13:BA14)/SUM(AW13:AW14)-1</f>
        <v>8.7374778105698825E-2</v>
      </c>
      <c r="BB20" s="8" t="s">
        <v>75</v>
      </c>
    </row>
    <row r="21" spans="1:57" s="25" customFormat="1" x14ac:dyDescent="0.2">
      <c r="B21" s="26" t="str">
        <f>+B13</f>
        <v>Grains</v>
      </c>
      <c r="C21" s="45" t="s">
        <v>177</v>
      </c>
      <c r="D21" s="26"/>
      <c r="E21" s="11"/>
      <c r="F21" s="11"/>
      <c r="G21" s="27"/>
      <c r="H21" s="30">
        <f t="shared" ref="H21:N23" si="47">+H13/G13-1</f>
        <v>0.45857413878849984</v>
      </c>
      <c r="I21" s="30">
        <f t="shared" ca="1" si="47"/>
        <v>0.10409012510402782</v>
      </c>
      <c r="J21" s="30">
        <f t="shared" ca="1" si="47"/>
        <v>0.10164619808591691</v>
      </c>
      <c r="K21" s="30">
        <f t="shared" ca="1" si="47"/>
        <v>9.9421901976974425E-2</v>
      </c>
      <c r="L21" s="30">
        <f t="shared" ca="1" si="47"/>
        <v>9.7388903221580003E-2</v>
      </c>
      <c r="M21" s="30">
        <f t="shared" ca="1" si="47"/>
        <v>9.5523540904806081E-2</v>
      </c>
      <c r="N21" s="30">
        <f t="shared" ca="1" si="47"/>
        <v>8.7374778105699047E-2</v>
      </c>
      <c r="V21" s="30">
        <f t="shared" ref="V21:AC23" si="48">+V13/R13-1</f>
        <v>0.55324241422438414</v>
      </c>
      <c r="W21" s="30">
        <f t="shared" si="48"/>
        <v>7.7511272202559933E-2</v>
      </c>
      <c r="X21" s="30">
        <f t="shared" si="48"/>
        <v>0.3046240107868059</v>
      </c>
      <c r="Y21" s="30">
        <f t="shared" si="48"/>
        <v>-7.5728181879029521E-2</v>
      </c>
      <c r="Z21" s="30">
        <f t="shared" si="48"/>
        <v>0.49484393898064383</v>
      </c>
      <c r="AA21" s="30">
        <f t="shared" si="48"/>
        <v>0.93494881060030166</v>
      </c>
      <c r="AB21" s="30">
        <f t="shared" si="48"/>
        <v>0.24057957441135414</v>
      </c>
      <c r="AC21" s="30">
        <f t="shared" si="48"/>
        <v>0.22834259806487101</v>
      </c>
      <c r="AD21" s="86">
        <f ca="1">+SUMIFS(Drivers!$9:$9,Drivers!$3:$3,North!AD$3)</f>
        <v>0.10409012510402804</v>
      </c>
      <c r="AE21" s="86">
        <f ca="1">+SUMIFS(Drivers!$9:$9,Drivers!$3:$3,North!AE$3)</f>
        <v>0.10409012510402804</v>
      </c>
      <c r="AF21" s="86">
        <f ca="1">+SUMIFS(Drivers!$9:$9,Drivers!$3:$3,North!AF$3)</f>
        <v>0.10409012510402804</v>
      </c>
      <c r="AG21" s="86">
        <f ca="1">+SUMIFS(Drivers!$9:$9,Drivers!$3:$3,North!AG$3)</f>
        <v>0.10409012510402804</v>
      </c>
      <c r="AH21" s="86">
        <f ca="1">+SUMIFS(Drivers!$9:$9,Drivers!$3:$3,North!AH$3)</f>
        <v>0.10164619808591691</v>
      </c>
      <c r="AI21" s="86">
        <f ca="1">+SUMIFS(Drivers!$9:$9,Drivers!$3:$3,North!AI$3)</f>
        <v>0.10164619808591691</v>
      </c>
      <c r="AJ21" s="86">
        <f ca="1">+SUMIFS(Drivers!$9:$9,Drivers!$3:$3,North!AJ$3)</f>
        <v>0.10164619808591691</v>
      </c>
      <c r="AK21" s="86">
        <f ca="1">+SUMIFS(Drivers!$9:$9,Drivers!$3:$3,North!AK$3)</f>
        <v>0.10164619808591691</v>
      </c>
      <c r="AL21" s="86">
        <f ca="1">+SUMIFS(Drivers!$9:$9,Drivers!$3:$3,North!AL$3)</f>
        <v>9.9421901976974425E-2</v>
      </c>
      <c r="AM21" s="86">
        <f ca="1">+SUMIFS(Drivers!$9:$9,Drivers!$3:$3,North!AM$3)</f>
        <v>9.9421901976974425E-2</v>
      </c>
      <c r="AN21" s="86">
        <f ca="1">+SUMIFS(Drivers!$9:$9,Drivers!$3:$3,North!AN$3)</f>
        <v>9.9421901976974425E-2</v>
      </c>
      <c r="AO21" s="86">
        <f ca="1">+SUMIFS(Drivers!$9:$9,Drivers!$3:$3,North!AO$3)</f>
        <v>9.9421901976974425E-2</v>
      </c>
      <c r="AP21" s="86">
        <f ca="1">+SUMIFS(Drivers!$9:$9,Drivers!$3:$3,North!AP$3)</f>
        <v>9.7388903221580003E-2</v>
      </c>
      <c r="AQ21" s="86">
        <f ca="1">+SUMIFS(Drivers!$9:$9,Drivers!$3:$3,North!AQ$3)</f>
        <v>9.7388903221580003E-2</v>
      </c>
      <c r="AR21" s="86">
        <f ca="1">+SUMIFS(Drivers!$9:$9,Drivers!$3:$3,North!AR$3)</f>
        <v>9.7388903221580003E-2</v>
      </c>
      <c r="AS21" s="86">
        <f ca="1">+SUMIFS(Drivers!$9:$9,Drivers!$3:$3,North!AS$3)</f>
        <v>9.7388903221580003E-2</v>
      </c>
      <c r="AT21" s="86">
        <f ca="1">+SUMIFS(Drivers!$9:$9,Drivers!$3:$3,North!AT$3)</f>
        <v>9.5523540904806081E-2</v>
      </c>
      <c r="AU21" s="86">
        <f ca="1">+SUMIFS(Drivers!$9:$9,Drivers!$3:$3,North!AU$3)</f>
        <v>9.5523540904806081E-2</v>
      </c>
      <c r="AV21" s="86">
        <f ca="1">+SUMIFS(Drivers!$9:$9,Drivers!$3:$3,North!AV$3)</f>
        <v>9.5523540904806081E-2</v>
      </c>
      <c r="AW21" s="86">
        <f ca="1">+SUMIFS(Drivers!$9:$9,Drivers!$3:$3,North!AW$3)</f>
        <v>9.5523540904806081E-2</v>
      </c>
      <c r="AX21" s="86">
        <f ca="1">+SUMIFS(Drivers!$9:$9,Drivers!$3:$3,North!AX$3)</f>
        <v>8.7374778105698825E-2</v>
      </c>
      <c r="AY21" s="86">
        <f ca="1">+SUMIFS(Drivers!$9:$9,Drivers!$3:$3,North!AY$3)</f>
        <v>8.7374778105698825E-2</v>
      </c>
      <c r="AZ21" s="86">
        <f ca="1">+SUMIFS(Drivers!$9:$9,Drivers!$3:$3,North!AZ$3)</f>
        <v>8.7374778105698825E-2</v>
      </c>
      <c r="BA21" s="86">
        <f ca="1">+SUMIFS(Drivers!$9:$9,Drivers!$3:$3,North!BA$3)</f>
        <v>8.7374778105698825E-2</v>
      </c>
      <c r="BB21" s="8" t="s">
        <v>75</v>
      </c>
    </row>
    <row r="22" spans="1:57" s="25" customFormat="1" x14ac:dyDescent="0.2">
      <c r="B22" s="26" t="str">
        <f>+B14</f>
        <v>Fertilizers</v>
      </c>
      <c r="C22" s="45" t="s">
        <v>177</v>
      </c>
      <c r="D22" s="26"/>
      <c r="E22" s="11"/>
      <c r="F22" s="11"/>
      <c r="G22" s="27"/>
      <c r="H22" s="30">
        <f t="shared" si="47"/>
        <v>-0.29171593515304572</v>
      </c>
      <c r="I22" s="30">
        <f t="shared" ca="1" si="47"/>
        <v>0.10409012510402804</v>
      </c>
      <c r="J22" s="30">
        <f t="shared" ca="1" si="47"/>
        <v>0.10164619808591691</v>
      </c>
      <c r="K22" s="30">
        <f t="shared" ca="1" si="47"/>
        <v>9.9421901976974425E-2</v>
      </c>
      <c r="L22" s="30">
        <f t="shared" ca="1" si="47"/>
        <v>9.7388903221580003E-2</v>
      </c>
      <c r="M22" s="30">
        <f t="shared" ca="1" si="47"/>
        <v>9.5523540904806081E-2</v>
      </c>
      <c r="N22" s="30">
        <f t="shared" ca="1" si="47"/>
        <v>8.7374778105698825E-2</v>
      </c>
      <c r="V22" s="30">
        <f t="shared" si="48"/>
        <v>19.506174201888143</v>
      </c>
      <c r="W22" s="30">
        <f t="shared" si="48"/>
        <v>-0.33098627442348905</v>
      </c>
      <c r="X22" s="30">
        <f t="shared" si="48"/>
        <v>-0.28416844907417937</v>
      </c>
      <c r="Y22" s="30">
        <f t="shared" si="48"/>
        <v>-0.16585448886509102</v>
      </c>
      <c r="Z22" s="30">
        <f t="shared" si="48"/>
        <v>-0.40433359179931616</v>
      </c>
      <c r="AA22" s="30">
        <f t="shared" si="48"/>
        <v>-0.36174778417373354</v>
      </c>
      <c r="AB22" s="30">
        <f t="shared" si="48"/>
        <v>-0.85708981874953605</v>
      </c>
      <c r="AC22" s="30">
        <f t="shared" si="48"/>
        <v>0.21238660454976221</v>
      </c>
      <c r="AD22" s="86">
        <f ca="1">+SUMIFS(Drivers!$13:$13,Drivers!$3:$3,North!AD$3)</f>
        <v>0.10409012510402804</v>
      </c>
      <c r="AE22" s="86">
        <f ca="1">+SUMIFS(Drivers!$13:$13,Drivers!$3:$3,North!AE$3)</f>
        <v>0.10409012510402804</v>
      </c>
      <c r="AF22" s="86">
        <f ca="1">+SUMIFS(Drivers!$13:$13,Drivers!$3:$3,North!AF$3)</f>
        <v>0.10409012510402804</v>
      </c>
      <c r="AG22" s="86">
        <f ca="1">+SUMIFS(Drivers!$13:$13,Drivers!$3:$3,North!AG$3)</f>
        <v>0.10409012510402804</v>
      </c>
      <c r="AH22" s="86">
        <f ca="1">+SUMIFS(Drivers!$13:$13,Drivers!$3:$3,North!AH$3)</f>
        <v>0.10164619808591691</v>
      </c>
      <c r="AI22" s="86">
        <f ca="1">+SUMIFS(Drivers!$13:$13,Drivers!$3:$3,North!AI$3)</f>
        <v>0.10164619808591691</v>
      </c>
      <c r="AJ22" s="86">
        <f ca="1">+SUMIFS(Drivers!$13:$13,Drivers!$3:$3,North!AJ$3)</f>
        <v>0.10164619808591691</v>
      </c>
      <c r="AK22" s="86">
        <f ca="1">+SUMIFS(Drivers!$13:$13,Drivers!$3:$3,North!AK$3)</f>
        <v>0.10164619808591691</v>
      </c>
      <c r="AL22" s="86">
        <f ca="1">+SUMIFS(Drivers!$13:$13,Drivers!$3:$3,North!AL$3)</f>
        <v>9.9421901976974425E-2</v>
      </c>
      <c r="AM22" s="86">
        <f ca="1">+SUMIFS(Drivers!$13:$13,Drivers!$3:$3,North!AM$3)</f>
        <v>9.9421901976974425E-2</v>
      </c>
      <c r="AN22" s="86">
        <f ca="1">+SUMIFS(Drivers!$13:$13,Drivers!$3:$3,North!AN$3)</f>
        <v>9.9421901976974425E-2</v>
      </c>
      <c r="AO22" s="86">
        <f ca="1">+SUMIFS(Drivers!$13:$13,Drivers!$3:$3,North!AO$3)</f>
        <v>9.9421901976974425E-2</v>
      </c>
      <c r="AP22" s="86">
        <f ca="1">+SUMIFS(Drivers!$13:$13,Drivers!$3:$3,North!AP$3)</f>
        <v>9.7388903221580003E-2</v>
      </c>
      <c r="AQ22" s="86">
        <f ca="1">+SUMIFS(Drivers!$13:$13,Drivers!$3:$3,North!AQ$3)</f>
        <v>9.7388903221580003E-2</v>
      </c>
      <c r="AR22" s="86">
        <f ca="1">+SUMIFS(Drivers!$13:$13,Drivers!$3:$3,North!AR$3)</f>
        <v>9.7388903221580003E-2</v>
      </c>
      <c r="AS22" s="86">
        <f ca="1">+SUMIFS(Drivers!$13:$13,Drivers!$3:$3,North!AS$3)</f>
        <v>9.7388903221580003E-2</v>
      </c>
      <c r="AT22" s="86">
        <f ca="1">+SUMIFS(Drivers!$13:$13,Drivers!$3:$3,North!AT$3)</f>
        <v>9.5523540904806081E-2</v>
      </c>
      <c r="AU22" s="86">
        <f ca="1">+SUMIFS(Drivers!$13:$13,Drivers!$3:$3,North!AU$3)</f>
        <v>9.5523540904806081E-2</v>
      </c>
      <c r="AV22" s="86">
        <f ca="1">+SUMIFS(Drivers!$13:$13,Drivers!$3:$3,North!AV$3)</f>
        <v>9.5523540904806081E-2</v>
      </c>
      <c r="AW22" s="86">
        <f ca="1">+SUMIFS(Drivers!$13:$13,Drivers!$3:$3,North!AW$3)</f>
        <v>9.5523540904806081E-2</v>
      </c>
      <c r="AX22" s="86">
        <f ca="1">+SUMIFS(Drivers!$13:$13,Drivers!$3:$3,North!AX$3)</f>
        <v>8.7374778105698825E-2</v>
      </c>
      <c r="AY22" s="86">
        <f ca="1">+SUMIFS(Drivers!$13:$13,Drivers!$3:$3,North!AY$3)</f>
        <v>8.7374778105698825E-2</v>
      </c>
      <c r="AZ22" s="86">
        <f ca="1">+SUMIFS(Drivers!$13:$13,Drivers!$3:$3,North!AZ$3)</f>
        <v>8.7374778105698825E-2</v>
      </c>
      <c r="BA22" s="86">
        <f ca="1">+SUMIFS(Drivers!$13:$13,Drivers!$3:$3,North!BA$3)</f>
        <v>8.7374778105698825E-2</v>
      </c>
      <c r="BB22" s="8" t="s">
        <v>75</v>
      </c>
    </row>
    <row r="23" spans="1:57" s="25" customFormat="1" x14ac:dyDescent="0.2">
      <c r="B23" s="26" t="str">
        <f>+B15</f>
        <v>Direct Road</v>
      </c>
      <c r="C23" s="45" t="s">
        <v>177</v>
      </c>
      <c r="D23" s="26"/>
      <c r="E23" s="11"/>
      <c r="F23" s="11"/>
      <c r="G23" s="27"/>
      <c r="H23" s="30">
        <f t="shared" si="47"/>
        <v>1.0147073129805571</v>
      </c>
      <c r="I23" s="30">
        <f t="shared" si="47"/>
        <v>0</v>
      </c>
      <c r="J23" s="30">
        <f t="shared" si="47"/>
        <v>0</v>
      </c>
      <c r="K23" s="30">
        <f t="shared" si="47"/>
        <v>0</v>
      </c>
      <c r="L23" s="30">
        <f t="shared" si="47"/>
        <v>0</v>
      </c>
      <c r="M23" s="30">
        <f t="shared" si="47"/>
        <v>0</v>
      </c>
      <c r="N23" s="30">
        <f t="shared" si="47"/>
        <v>0</v>
      </c>
      <c r="V23" s="30">
        <f t="shared" si="48"/>
        <v>11.154786302184906</v>
      </c>
      <c r="W23" s="30">
        <f t="shared" si="48"/>
        <v>-7.5750982590039762E-2</v>
      </c>
      <c r="X23" s="30">
        <f t="shared" si="48"/>
        <v>1.7898640534723005</v>
      </c>
      <c r="Y23" s="30">
        <f t="shared" si="48"/>
        <v>-0.69009584664536738</v>
      </c>
      <c r="Z23" s="30">
        <f t="shared" si="48"/>
        <v>0.79348308829778191</v>
      </c>
      <c r="AA23" s="30">
        <f t="shared" si="48"/>
        <v>1.2948921465406236</v>
      </c>
      <c r="AB23" s="30">
        <f t="shared" si="48"/>
        <v>0.57056752319588999</v>
      </c>
      <c r="AC23" s="30">
        <f t="shared" si="48"/>
        <v>68.949742268041234</v>
      </c>
      <c r="AD23" s="30">
        <f t="shared" ref="AD23:AM23" si="49">+AD15/Z15-1</f>
        <v>0</v>
      </c>
      <c r="AE23" s="30">
        <f t="shared" si="49"/>
        <v>0</v>
      </c>
      <c r="AF23" s="30">
        <f t="shared" si="49"/>
        <v>0</v>
      </c>
      <c r="AG23" s="30">
        <f t="shared" si="49"/>
        <v>0</v>
      </c>
      <c r="AH23" s="30">
        <f t="shared" si="49"/>
        <v>0</v>
      </c>
      <c r="AI23" s="30">
        <f t="shared" si="49"/>
        <v>0</v>
      </c>
      <c r="AJ23" s="30">
        <f t="shared" si="49"/>
        <v>0</v>
      </c>
      <c r="AK23" s="30">
        <f t="shared" si="49"/>
        <v>0</v>
      </c>
      <c r="AL23" s="30">
        <f t="shared" si="49"/>
        <v>0</v>
      </c>
      <c r="AM23" s="30">
        <f t="shared" si="49"/>
        <v>0</v>
      </c>
      <c r="AN23" s="30">
        <f t="shared" ref="AN23:AW23" si="50">+AN15/AJ15-1</f>
        <v>0</v>
      </c>
      <c r="AO23" s="30">
        <f t="shared" si="50"/>
        <v>0</v>
      </c>
      <c r="AP23" s="30">
        <f t="shared" si="50"/>
        <v>0</v>
      </c>
      <c r="AQ23" s="30">
        <f t="shared" si="50"/>
        <v>0</v>
      </c>
      <c r="AR23" s="30">
        <f t="shared" si="50"/>
        <v>0</v>
      </c>
      <c r="AS23" s="30">
        <f t="shared" si="50"/>
        <v>0</v>
      </c>
      <c r="AT23" s="30">
        <f t="shared" si="50"/>
        <v>0</v>
      </c>
      <c r="AU23" s="30">
        <f t="shared" si="50"/>
        <v>0</v>
      </c>
      <c r="AV23" s="30">
        <f t="shared" si="50"/>
        <v>0</v>
      </c>
      <c r="AW23" s="30">
        <f t="shared" si="50"/>
        <v>0</v>
      </c>
      <c r="AX23" s="30">
        <f t="shared" ref="AX23:BA23" si="51">+AX15/AT15-1</f>
        <v>0</v>
      </c>
      <c r="AY23" s="30">
        <f t="shared" si="51"/>
        <v>0</v>
      </c>
      <c r="AZ23" s="30">
        <f t="shared" si="51"/>
        <v>0</v>
      </c>
      <c r="BA23" s="30">
        <f t="shared" si="51"/>
        <v>0</v>
      </c>
      <c r="BB23" s="8" t="s">
        <v>75</v>
      </c>
    </row>
    <row r="24" spans="1:57" s="25" customFormat="1" x14ac:dyDescent="0.2">
      <c r="B24" s="26"/>
      <c r="C24" s="26"/>
      <c r="D24" s="26"/>
      <c r="E24" s="11"/>
      <c r="F24" s="11"/>
      <c r="G24" s="27"/>
      <c r="H24" s="27"/>
      <c r="I24" s="27"/>
      <c r="J24" s="27"/>
      <c r="K24" s="27"/>
      <c r="L24" s="27"/>
      <c r="M24" s="27"/>
      <c r="N24" s="27"/>
      <c r="O24" s="27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BB24" s="8" t="s">
        <v>75</v>
      </c>
    </row>
    <row r="25" spans="1:57" s="25" customFormat="1" x14ac:dyDescent="0.2">
      <c r="B25" s="33" t="s">
        <v>203</v>
      </c>
      <c r="C25" s="45" t="s">
        <v>177</v>
      </c>
      <c r="D25" s="33"/>
      <c r="E25" s="11"/>
      <c r="F25" s="11"/>
      <c r="G25" s="27"/>
      <c r="H25" s="115" t="s">
        <v>147</v>
      </c>
      <c r="I25" s="115" t="s">
        <v>147</v>
      </c>
      <c r="J25" s="115" t="s">
        <v>147</v>
      </c>
      <c r="K25" s="115" t="s">
        <v>147</v>
      </c>
      <c r="L25" s="115" t="s">
        <v>147</v>
      </c>
      <c r="M25" s="115" t="s">
        <v>147</v>
      </c>
      <c r="N25" s="115" t="s">
        <v>147</v>
      </c>
      <c r="O25" s="27"/>
      <c r="S25" s="30">
        <f t="shared" ref="S25:BA25" si="52">+S12/R12-1</f>
        <v>1.1541855717168068</v>
      </c>
      <c r="T25" s="30">
        <f t="shared" si="52"/>
        <v>8.2761493184661861E-2</v>
      </c>
      <c r="U25" s="30">
        <f t="shared" si="52"/>
        <v>-0.37891328136856328</v>
      </c>
      <c r="V25" s="30">
        <f t="shared" si="52"/>
        <v>0.29494249744397738</v>
      </c>
      <c r="W25" s="30">
        <f t="shared" si="52"/>
        <v>0.14709495089855151</v>
      </c>
      <c r="X25" s="30">
        <f t="shared" si="52"/>
        <v>0.44422651690197146</v>
      </c>
      <c r="Y25" s="30">
        <f t="shared" si="52"/>
        <v>-0.57744357596851015</v>
      </c>
      <c r="Z25" s="30">
        <f t="shared" si="52"/>
        <v>1.0965530212691261</v>
      </c>
      <c r="AA25" s="30">
        <f t="shared" si="52"/>
        <v>0.47143135135665903</v>
      </c>
      <c r="AB25" s="30">
        <f t="shared" si="52"/>
        <v>-5.8499756761337007E-2</v>
      </c>
      <c r="AC25" s="30">
        <f t="shared" si="52"/>
        <v>-0.55073129976151036</v>
      </c>
      <c r="AD25" s="30">
        <f t="shared" ca="1" si="52"/>
        <v>0.74896546742987069</v>
      </c>
      <c r="AE25" s="30">
        <f t="shared" ca="1" si="52"/>
        <v>0.46480236207547221</v>
      </c>
      <c r="AF25" s="30">
        <f t="shared" ca="1" si="52"/>
        <v>-5.3240238998069622E-2</v>
      </c>
      <c r="AG25" s="30">
        <f t="shared" ca="1" si="52"/>
        <v>-0.54744563411433056</v>
      </c>
      <c r="AH25" s="30">
        <f t="shared" ca="1" si="52"/>
        <v>0.73309036260519234</v>
      </c>
      <c r="AI25" s="30">
        <f t="shared" ca="1" si="52"/>
        <v>0.45876600638664944</v>
      </c>
      <c r="AJ25" s="30">
        <f t="shared" ca="1" si="52"/>
        <v>-4.8409341723466559E-2</v>
      </c>
      <c r="AK25" s="30">
        <f t="shared" ca="1" si="52"/>
        <v>-0.54445973238635004</v>
      </c>
      <c r="AL25" s="30">
        <f t="shared" ca="1" si="52"/>
        <v>0.71878213643391486</v>
      </c>
      <c r="AM25" s="30">
        <f t="shared" ca="1" si="52"/>
        <v>0.45326409371472609</v>
      </c>
      <c r="AN25" s="30">
        <f t="shared" ca="1" si="52"/>
        <v>-4.3971200053143478E-2</v>
      </c>
      <c r="AO25" s="30">
        <f t="shared" ca="1" si="52"/>
        <v>-0.54174318250042364</v>
      </c>
      <c r="AP25" s="30">
        <f t="shared" ca="1" si="52"/>
        <v>0.7058514712179822</v>
      </c>
      <c r="AQ25" s="30">
        <f t="shared" ca="1" si="52"/>
        <v>0.44824464051943225</v>
      </c>
      <c r="AR25" s="30">
        <f t="shared" ca="1" si="52"/>
        <v>-3.9892821054447247E-2</v>
      </c>
      <c r="AS25" s="30">
        <f t="shared" ca="1" si="52"/>
        <v>-0.53926898389311884</v>
      </c>
      <c r="AT25" s="30">
        <f t="shared" ca="1" si="52"/>
        <v>0.69413643371400169</v>
      </c>
      <c r="AU25" s="30">
        <f t="shared" ca="1" si="52"/>
        <v>0.44366116660474919</v>
      </c>
      <c r="AV25" s="30">
        <f t="shared" ca="1" si="52"/>
        <v>-3.6143909402111651E-2</v>
      </c>
      <c r="AW25" s="30">
        <f t="shared" ca="1" si="52"/>
        <v>-0.53701313003269691</v>
      </c>
      <c r="AX25" s="30">
        <f t="shared" ca="1" si="52"/>
        <v>0.67449785418108998</v>
      </c>
      <c r="AY25" s="30">
        <f t="shared" ca="1" si="52"/>
        <v>0.4397382964653469</v>
      </c>
      <c r="AZ25" s="30">
        <f t="shared" ca="1" si="52"/>
        <v>-3.2916361128229599E-2</v>
      </c>
      <c r="BA25" s="30">
        <f t="shared" ca="1" si="52"/>
        <v>-0.5350850094823919</v>
      </c>
      <c r="BB25" s="8" t="s">
        <v>75</v>
      </c>
    </row>
    <row r="26" spans="1:57" s="25" customFormat="1" x14ac:dyDescent="0.2">
      <c r="B26" s="33" t="s">
        <v>211</v>
      </c>
      <c r="C26" s="45" t="s">
        <v>177</v>
      </c>
      <c r="D26" s="33"/>
      <c r="E26" s="11"/>
      <c r="F26" s="11"/>
      <c r="G26" s="27"/>
      <c r="H26" s="115" t="s">
        <v>147</v>
      </c>
      <c r="I26" s="115" t="s">
        <v>147</v>
      </c>
      <c r="J26" s="115" t="s">
        <v>147</v>
      </c>
      <c r="K26" s="115" t="s">
        <v>147</v>
      </c>
      <c r="L26" s="115" t="s">
        <v>147</v>
      </c>
      <c r="M26" s="115" t="s">
        <v>147</v>
      </c>
      <c r="N26" s="115" t="s">
        <v>147</v>
      </c>
      <c r="O26" s="27"/>
      <c r="S26" s="30">
        <f t="shared" ref="S26:BA26" si="53">+SUM(S13:S14)/SUM(R13:R14)-1</f>
        <v>0.81321369608609739</v>
      </c>
      <c r="T26" s="30">
        <f t="shared" si="53"/>
        <v>0.24344286565887008</v>
      </c>
      <c r="U26" s="30">
        <f t="shared" si="53"/>
        <v>-0.34732569530773405</v>
      </c>
      <c r="V26" s="30">
        <f t="shared" si="53"/>
        <v>0.1405626373562443</v>
      </c>
      <c r="W26" s="30">
        <f t="shared" si="53"/>
        <v>9.6192820278524938E-2</v>
      </c>
      <c r="X26" s="30">
        <f t="shared" si="53"/>
        <v>0.53563041024523228</v>
      </c>
      <c r="Y26" s="30">
        <f t="shared" si="53"/>
        <v>-0.52680342257996016</v>
      </c>
      <c r="Z26" s="30">
        <f t="shared" si="53"/>
        <v>0.78557620101931169</v>
      </c>
      <c r="AA26" s="30">
        <f t="shared" si="53"/>
        <v>0.38993967309149724</v>
      </c>
      <c r="AB26" s="30">
        <f t="shared" si="53"/>
        <v>9.6391171167371503E-3</v>
      </c>
      <c r="AC26" s="30">
        <f t="shared" si="53"/>
        <v>-0.51081539152051958</v>
      </c>
      <c r="AD26" s="30">
        <f t="shared" ca="1" si="53"/>
        <v>0.60830948030493937</v>
      </c>
      <c r="AE26" s="30">
        <f t="shared" ca="1" si="53"/>
        <v>0.38993967309149724</v>
      </c>
      <c r="AF26" s="30">
        <f t="shared" ca="1" si="53"/>
        <v>9.6391171167371503E-3</v>
      </c>
      <c r="AG26" s="30">
        <f t="shared" ca="1" si="53"/>
        <v>-0.51081539152051958</v>
      </c>
      <c r="AH26" s="30">
        <f t="shared" ca="1" si="53"/>
        <v>0.60474945300007477</v>
      </c>
      <c r="AI26" s="30">
        <f t="shared" ca="1" si="53"/>
        <v>0.38993967309149702</v>
      </c>
      <c r="AJ26" s="30">
        <f t="shared" ca="1" si="53"/>
        <v>9.6391171167373724E-3</v>
      </c>
      <c r="AK26" s="30">
        <f t="shared" ca="1" si="53"/>
        <v>-0.51081539152051958</v>
      </c>
      <c r="AL26" s="30">
        <f t="shared" ca="1" si="53"/>
        <v>0.60150935833961339</v>
      </c>
      <c r="AM26" s="30">
        <f t="shared" ca="1" si="53"/>
        <v>0.38993967309149702</v>
      </c>
      <c r="AN26" s="30">
        <f t="shared" ca="1" si="53"/>
        <v>9.6391171167371503E-3</v>
      </c>
      <c r="AO26" s="30">
        <f t="shared" ca="1" si="53"/>
        <v>-0.51081539152051958</v>
      </c>
      <c r="AP26" s="30">
        <f t="shared" ca="1" si="53"/>
        <v>0.59854792331052931</v>
      </c>
      <c r="AQ26" s="30">
        <f t="shared" ca="1" si="53"/>
        <v>0.38993967309149724</v>
      </c>
      <c r="AR26" s="30">
        <f t="shared" ca="1" si="53"/>
        <v>9.6391171167371503E-3</v>
      </c>
      <c r="AS26" s="30">
        <f t="shared" ca="1" si="53"/>
        <v>-0.51081539152051958</v>
      </c>
      <c r="AT26" s="30">
        <f t="shared" ca="1" si="53"/>
        <v>0.59583068145675555</v>
      </c>
      <c r="AU26" s="30">
        <f t="shared" ca="1" si="53"/>
        <v>0.38993967309149724</v>
      </c>
      <c r="AV26" s="30">
        <f t="shared" ca="1" si="53"/>
        <v>9.6391171167371503E-3</v>
      </c>
      <c r="AW26" s="30">
        <f t="shared" ca="1" si="53"/>
        <v>-0.51081539152051958</v>
      </c>
      <c r="AX26" s="30">
        <f t="shared" ca="1" si="53"/>
        <v>0.58396051600144405</v>
      </c>
      <c r="AY26" s="30">
        <f t="shared" ca="1" si="53"/>
        <v>0.38993967309149746</v>
      </c>
      <c r="AZ26" s="30">
        <f t="shared" ca="1" si="53"/>
        <v>9.6391171167369283E-3</v>
      </c>
      <c r="BA26" s="30">
        <f t="shared" ca="1" si="53"/>
        <v>-0.51081539152051958</v>
      </c>
      <c r="BB26" s="8" t="s">
        <v>75</v>
      </c>
    </row>
    <row r="27" spans="1:57" s="25" customFormat="1" x14ac:dyDescent="0.2">
      <c r="B27" s="26" t="str">
        <f>+B13</f>
        <v>Grains</v>
      </c>
      <c r="C27" s="45" t="s">
        <v>177</v>
      </c>
      <c r="D27" s="26"/>
      <c r="E27" s="11"/>
      <c r="F27" s="11"/>
      <c r="G27" s="27"/>
      <c r="H27" s="115" t="s">
        <v>147</v>
      </c>
      <c r="I27" s="115" t="s">
        <v>147</v>
      </c>
      <c r="J27" s="115" t="s">
        <v>147</v>
      </c>
      <c r="K27" s="115" t="s">
        <v>147</v>
      </c>
      <c r="L27" s="115" t="s">
        <v>147</v>
      </c>
      <c r="M27" s="115" t="s">
        <v>147</v>
      </c>
      <c r="N27" s="115" t="s">
        <v>147</v>
      </c>
      <c r="O27" s="27"/>
      <c r="S27" s="30">
        <f t="shared" ref="S27:BA27" si="54">+S13/R13-1</f>
        <v>0.54451309496815226</v>
      </c>
      <c r="T27" s="30">
        <f t="shared" si="54"/>
        <v>0.34090391717247459</v>
      </c>
      <c r="U27" s="30">
        <f t="shared" si="54"/>
        <v>-0.40975779094048204</v>
      </c>
      <c r="V27" s="30">
        <f t="shared" si="54"/>
        <v>0.27063181036896489</v>
      </c>
      <c r="W27" s="30">
        <f t="shared" si="54"/>
        <v>7.1455591639689287E-2</v>
      </c>
      <c r="X27" s="30">
        <f t="shared" si="54"/>
        <v>0.62353331387927224</v>
      </c>
      <c r="Y27" s="30">
        <f t="shared" si="54"/>
        <v>-0.58183795853169507</v>
      </c>
      <c r="Z27" s="30">
        <f t="shared" si="54"/>
        <v>1.0550191222615566</v>
      </c>
      <c r="AA27" s="30">
        <f t="shared" si="54"/>
        <v>0.38690847157464026</v>
      </c>
      <c r="AB27" s="30">
        <f t="shared" si="54"/>
        <v>4.0917597685769413E-2</v>
      </c>
      <c r="AC27" s="30">
        <f t="shared" si="54"/>
        <v>-0.58596267500776045</v>
      </c>
      <c r="AD27" s="30">
        <f t="shared" ca="1" si="54"/>
        <v>0.84714453717016314</v>
      </c>
      <c r="AE27" s="30">
        <f t="shared" ca="1" si="54"/>
        <v>0.38690847157464003</v>
      </c>
      <c r="AF27" s="30">
        <f t="shared" ca="1" si="54"/>
        <v>4.0917597685769413E-2</v>
      </c>
      <c r="AG27" s="30">
        <f t="shared" ca="1" si="54"/>
        <v>-0.58596267500776045</v>
      </c>
      <c r="AH27" s="30">
        <f t="shared" ca="1" si="54"/>
        <v>0.84305584337777795</v>
      </c>
      <c r="AI27" s="30">
        <f t="shared" ca="1" si="54"/>
        <v>0.38690847157464003</v>
      </c>
      <c r="AJ27" s="30">
        <f t="shared" ca="1" si="54"/>
        <v>4.0917597685769413E-2</v>
      </c>
      <c r="AK27" s="30">
        <f t="shared" ca="1" si="54"/>
        <v>-0.58596267500776045</v>
      </c>
      <c r="AL27" s="30">
        <f t="shared" ca="1" si="54"/>
        <v>0.83933459244611597</v>
      </c>
      <c r="AM27" s="30">
        <f t="shared" ca="1" si="54"/>
        <v>0.38690847157464026</v>
      </c>
      <c r="AN27" s="30">
        <f t="shared" ca="1" si="54"/>
        <v>4.0917597685769191E-2</v>
      </c>
      <c r="AO27" s="30">
        <f t="shared" ca="1" si="54"/>
        <v>-0.58596267500776045</v>
      </c>
      <c r="AP27" s="30">
        <f t="shared" ca="1" si="54"/>
        <v>0.83593338229151315</v>
      </c>
      <c r="AQ27" s="30">
        <f t="shared" ca="1" si="54"/>
        <v>0.38690847157464026</v>
      </c>
      <c r="AR27" s="30">
        <f t="shared" ca="1" si="54"/>
        <v>4.0917597685769191E-2</v>
      </c>
      <c r="AS27" s="30">
        <f t="shared" ca="1" si="54"/>
        <v>-0.58596267500776045</v>
      </c>
      <c r="AT27" s="30">
        <f t="shared" ca="1" si="54"/>
        <v>0.83281262816562385</v>
      </c>
      <c r="AU27" s="30">
        <f t="shared" ca="1" si="54"/>
        <v>0.38690847157464026</v>
      </c>
      <c r="AV27" s="30">
        <f t="shared" ca="1" si="54"/>
        <v>4.0917597685769191E-2</v>
      </c>
      <c r="AW27" s="30">
        <f t="shared" ca="1" si="54"/>
        <v>-0.58596267500776045</v>
      </c>
      <c r="AX27" s="30">
        <f t="shared" ca="1" si="54"/>
        <v>0.81917973502870889</v>
      </c>
      <c r="AY27" s="30">
        <f t="shared" ca="1" si="54"/>
        <v>0.38690847157464026</v>
      </c>
      <c r="AZ27" s="30">
        <f t="shared" ca="1" si="54"/>
        <v>4.0917597685769191E-2</v>
      </c>
      <c r="BA27" s="30">
        <f t="shared" ca="1" si="54"/>
        <v>-0.58596267500776045</v>
      </c>
      <c r="BB27" s="8" t="s">
        <v>75</v>
      </c>
    </row>
    <row r="28" spans="1:57" s="25" customFormat="1" x14ac:dyDescent="0.2">
      <c r="B28" s="26" t="str">
        <f>+B14</f>
        <v>Fertilizers</v>
      </c>
      <c r="C28" s="45" t="s">
        <v>177</v>
      </c>
      <c r="D28" s="26"/>
      <c r="E28" s="11"/>
      <c r="F28" s="11"/>
      <c r="G28" s="27"/>
      <c r="H28" s="115" t="s">
        <v>147</v>
      </c>
      <c r="I28" s="115" t="s">
        <v>147</v>
      </c>
      <c r="J28" s="115" t="s">
        <v>147</v>
      </c>
      <c r="K28" s="115" t="s">
        <v>147</v>
      </c>
      <c r="L28" s="115" t="s">
        <v>147</v>
      </c>
      <c r="M28" s="115" t="s">
        <v>147</v>
      </c>
      <c r="N28" s="115" t="s">
        <v>147</v>
      </c>
      <c r="O28" s="27"/>
      <c r="S28" s="30">
        <f t="shared" ref="S28:BA28" si="55">+S14/R14-1</f>
        <v>41.240798534320504</v>
      </c>
      <c r="T28" s="30">
        <f t="shared" si="55"/>
        <v>-0.29272369786522079</v>
      </c>
      <c r="U28" s="30">
        <f t="shared" si="55"/>
        <v>0.30383038431764264</v>
      </c>
      <c r="V28" s="30">
        <f t="shared" si="55"/>
        <v>-0.47356795444798316</v>
      </c>
      <c r="W28" s="30">
        <f t="shared" si="55"/>
        <v>0.37810562421587757</v>
      </c>
      <c r="X28" s="30">
        <f t="shared" si="55"/>
        <v>-0.24322824340572224</v>
      </c>
      <c r="Y28" s="30">
        <f t="shared" si="55"/>
        <v>0.51932987719420565</v>
      </c>
      <c r="Z28" s="30">
        <f t="shared" si="55"/>
        <v>-0.62407292067175946</v>
      </c>
      <c r="AA28" s="30">
        <f t="shared" si="55"/>
        <v>0.47663013423125267</v>
      </c>
      <c r="AB28" s="30">
        <f t="shared" si="55"/>
        <v>-0.83055227037463353</v>
      </c>
      <c r="AC28" s="30">
        <f t="shared" si="55"/>
        <v>11.889320934903719</v>
      </c>
      <c r="AD28" s="30">
        <f t="shared" ca="1" si="55"/>
        <v>-0.65765262129430513</v>
      </c>
      <c r="AE28" s="30">
        <f t="shared" ca="1" si="55"/>
        <v>0.47663013423125267</v>
      </c>
      <c r="AF28" s="30">
        <f t="shared" ca="1" si="55"/>
        <v>-0.83055227037463353</v>
      </c>
      <c r="AG28" s="30">
        <f t="shared" ca="1" si="55"/>
        <v>11.889320934903715</v>
      </c>
      <c r="AH28" s="30">
        <f t="shared" ca="1" si="55"/>
        <v>-0.65841041451188276</v>
      </c>
      <c r="AI28" s="30">
        <f t="shared" ca="1" si="55"/>
        <v>0.47663013423125244</v>
      </c>
      <c r="AJ28" s="30">
        <f t="shared" ca="1" si="55"/>
        <v>-0.83055227037463353</v>
      </c>
      <c r="AK28" s="30">
        <f t="shared" ca="1" si="55"/>
        <v>11.889320934903715</v>
      </c>
      <c r="AL28" s="30">
        <f t="shared" ca="1" si="55"/>
        <v>-0.65910010634504723</v>
      </c>
      <c r="AM28" s="30">
        <f t="shared" ca="1" si="55"/>
        <v>0.47663013423125244</v>
      </c>
      <c r="AN28" s="30">
        <f t="shared" ca="1" si="55"/>
        <v>-0.83055227037463353</v>
      </c>
      <c r="AO28" s="30">
        <f t="shared" ca="1" si="55"/>
        <v>11.889320934903715</v>
      </c>
      <c r="AP28" s="30">
        <f t="shared" ca="1" si="55"/>
        <v>-0.65973048223465647</v>
      </c>
      <c r="AQ28" s="30">
        <f t="shared" ca="1" si="55"/>
        <v>0.47663013423125244</v>
      </c>
      <c r="AR28" s="30">
        <f t="shared" ca="1" si="55"/>
        <v>-0.83055227037463353</v>
      </c>
      <c r="AS28" s="30">
        <f t="shared" ca="1" si="55"/>
        <v>11.889320934903715</v>
      </c>
      <c r="AT28" s="30">
        <f t="shared" ca="1" si="55"/>
        <v>-0.66030887876675459</v>
      </c>
      <c r="AU28" s="30">
        <f t="shared" ca="1" si="55"/>
        <v>0.47663013423125222</v>
      </c>
      <c r="AV28" s="30">
        <f t="shared" ca="1" si="55"/>
        <v>-0.83055227037463353</v>
      </c>
      <c r="AW28" s="30">
        <f t="shared" ca="1" si="55"/>
        <v>11.889320934903715</v>
      </c>
      <c r="AX28" s="30">
        <f t="shared" ca="1" si="55"/>
        <v>-0.66283558154267697</v>
      </c>
      <c r="AY28" s="30">
        <f t="shared" ca="1" si="55"/>
        <v>0.47663013423125244</v>
      </c>
      <c r="AZ28" s="30">
        <f t="shared" ca="1" si="55"/>
        <v>-0.83055227037463353</v>
      </c>
      <c r="BA28" s="30">
        <f t="shared" ca="1" si="55"/>
        <v>11.889320934903715</v>
      </c>
      <c r="BB28" s="8" t="s">
        <v>75</v>
      </c>
    </row>
    <row r="29" spans="1:57" s="25" customFormat="1" x14ac:dyDescent="0.2">
      <c r="B29" s="26" t="str">
        <f>+B15</f>
        <v>Direct Road</v>
      </c>
      <c r="C29" s="45" t="s">
        <v>177</v>
      </c>
      <c r="D29" s="26"/>
      <c r="E29" s="11"/>
      <c r="F29" s="11"/>
      <c r="G29" s="27"/>
      <c r="H29" s="115" t="s">
        <v>147</v>
      </c>
      <c r="I29" s="115" t="s">
        <v>147</v>
      </c>
      <c r="J29" s="115" t="s">
        <v>147</v>
      </c>
      <c r="K29" s="115" t="s">
        <v>147</v>
      </c>
      <c r="L29" s="115" t="s">
        <v>147</v>
      </c>
      <c r="M29" s="115" t="s">
        <v>147</v>
      </c>
      <c r="N29" s="115" t="s">
        <v>147</v>
      </c>
      <c r="O29" s="27"/>
      <c r="S29" s="30">
        <f t="shared" ref="S29:BA29" si="56">+S15/R15-1</f>
        <v>18.894790392688328</v>
      </c>
      <c r="T29" s="30">
        <f t="shared" si="56"/>
        <v>-0.67918595506443458</v>
      </c>
      <c r="U29" s="30">
        <f t="shared" si="56"/>
        <v>-0.95947498745731441</v>
      </c>
      <c r="V29" s="30">
        <f t="shared" si="56"/>
        <v>45.992811501597444</v>
      </c>
      <c r="W29" s="30">
        <f t="shared" si="56"/>
        <v>0.51279833432480681</v>
      </c>
      <c r="X29" s="30">
        <f t="shared" si="56"/>
        <v>-3.1616420515184207E-2</v>
      </c>
      <c r="Y29" s="30">
        <f t="shared" si="56"/>
        <v>-0.99549839366326975</v>
      </c>
      <c r="Z29" s="30">
        <f t="shared" si="56"/>
        <v>270.95767396907218</v>
      </c>
      <c r="AA29" s="30">
        <f t="shared" si="56"/>
        <v>0.93573557475625813</v>
      </c>
      <c r="AB29" s="30">
        <f t="shared" si="56"/>
        <v>-0.33726218801711572</v>
      </c>
      <c r="AC29" s="30">
        <f t="shared" si="56"/>
        <v>-0.799508013252616</v>
      </c>
      <c r="AD29" s="30">
        <f t="shared" si="56"/>
        <v>2.8879010150881523</v>
      </c>
      <c r="AE29" s="30">
        <f t="shared" si="56"/>
        <v>0.93573557475625813</v>
      </c>
      <c r="AF29" s="30">
        <f t="shared" si="56"/>
        <v>-0.33726218801711572</v>
      </c>
      <c r="AG29" s="30">
        <f t="shared" si="56"/>
        <v>-0.799508013252616</v>
      </c>
      <c r="AH29" s="30">
        <f t="shared" si="56"/>
        <v>2.8879010150881523</v>
      </c>
      <c r="AI29" s="30">
        <f t="shared" si="56"/>
        <v>0.93573557475625813</v>
      </c>
      <c r="AJ29" s="30">
        <f t="shared" si="56"/>
        <v>-0.33726218801711572</v>
      </c>
      <c r="AK29" s="30">
        <f t="shared" si="56"/>
        <v>-0.799508013252616</v>
      </c>
      <c r="AL29" s="30">
        <f t="shared" si="56"/>
        <v>2.8879010150881523</v>
      </c>
      <c r="AM29" s="30">
        <f t="shared" si="56"/>
        <v>0.93573557475625813</v>
      </c>
      <c r="AN29" s="30">
        <f t="shared" si="56"/>
        <v>-0.33726218801711572</v>
      </c>
      <c r="AO29" s="30">
        <f t="shared" si="56"/>
        <v>-0.799508013252616</v>
      </c>
      <c r="AP29" s="30">
        <f t="shared" si="56"/>
        <v>2.8879010150881523</v>
      </c>
      <c r="AQ29" s="30">
        <f t="shared" si="56"/>
        <v>0.93573557475625813</v>
      </c>
      <c r="AR29" s="30">
        <f t="shared" si="56"/>
        <v>-0.33726218801711572</v>
      </c>
      <c r="AS29" s="30">
        <f t="shared" si="56"/>
        <v>-0.799508013252616</v>
      </c>
      <c r="AT29" s="30">
        <f t="shared" si="56"/>
        <v>2.8879010150881523</v>
      </c>
      <c r="AU29" s="30">
        <f t="shared" si="56"/>
        <v>0.93573557475625813</v>
      </c>
      <c r="AV29" s="30">
        <f t="shared" si="56"/>
        <v>-0.33726218801711572</v>
      </c>
      <c r="AW29" s="30">
        <f t="shared" si="56"/>
        <v>-0.799508013252616</v>
      </c>
      <c r="AX29" s="30">
        <f t="shared" si="56"/>
        <v>2.8879010150881523</v>
      </c>
      <c r="AY29" s="30">
        <f t="shared" si="56"/>
        <v>0.93573557475625813</v>
      </c>
      <c r="AZ29" s="30">
        <f t="shared" si="56"/>
        <v>-0.33726218801711572</v>
      </c>
      <c r="BA29" s="30">
        <f t="shared" si="56"/>
        <v>-0.799508013252616</v>
      </c>
      <c r="BB29" s="8" t="s">
        <v>75</v>
      </c>
    </row>
    <row r="30" spans="1:57" x14ac:dyDescent="0.2">
      <c r="B30" s="19"/>
      <c r="C30" s="19"/>
      <c r="D30" s="19"/>
      <c r="E30" s="11"/>
      <c r="F30" s="11"/>
      <c r="G30" s="11"/>
      <c r="H30" s="11"/>
      <c r="I30" s="11"/>
      <c r="J30" s="11"/>
      <c r="K30" s="11"/>
      <c r="L30" s="11"/>
      <c r="M30" s="11"/>
      <c r="N30" s="11"/>
      <c r="R30" s="25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BB30" s="8" t="s">
        <v>75</v>
      </c>
    </row>
    <row r="31" spans="1:57" s="35" customFormat="1" x14ac:dyDescent="0.2">
      <c r="A31" s="17" t="s">
        <v>75</v>
      </c>
      <c r="B31" s="36" t="s">
        <v>214</v>
      </c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37"/>
      <c r="P31" s="37"/>
      <c r="Q31" s="37"/>
      <c r="U31" s="37"/>
      <c r="V31" s="37"/>
      <c r="W31" s="37"/>
      <c r="X31" s="37"/>
      <c r="Y31" s="37"/>
      <c r="Z31" s="44"/>
      <c r="AA31" s="44"/>
      <c r="AB31" s="44"/>
      <c r="AC31" s="37"/>
      <c r="AD31" s="44"/>
      <c r="AE31" s="44"/>
      <c r="AF31" s="44"/>
      <c r="AG31" s="37"/>
      <c r="AH31" s="44"/>
      <c r="AI31" s="44"/>
      <c r="AJ31" s="44"/>
      <c r="AK31" s="37"/>
      <c r="BB31" s="90" t="s">
        <v>75</v>
      </c>
      <c r="BE31" s="90"/>
    </row>
    <row r="32" spans="1:57" x14ac:dyDescent="0.2">
      <c r="B32" s="2" t="s">
        <v>132</v>
      </c>
      <c r="C32" s="45" t="s">
        <v>187</v>
      </c>
      <c r="D32" s="2"/>
      <c r="E32" s="11"/>
      <c r="F32" s="11"/>
      <c r="G32" s="13">
        <f t="shared" ref="G32:N33" si="57">+SUMIFS(32:32,$6:$6,G$3)</f>
        <v>424.99308698134922</v>
      </c>
      <c r="H32" s="13">
        <f t="shared" si="57"/>
        <v>856.16579379000007</v>
      </c>
      <c r="I32" s="13">
        <f t="shared" ca="1" si="57"/>
        <v>639.02987469188292</v>
      </c>
      <c r="J32" s="13">
        <f t="shared" ca="1" si="57"/>
        <v>732.14422519433799</v>
      </c>
      <c r="K32" s="13">
        <f t="shared" ca="1" si="57"/>
        <v>837.13281244800203</v>
      </c>
      <c r="L32" s="13">
        <f t="shared" ca="1" si="57"/>
        <v>955.40666925923392</v>
      </c>
      <c r="M32" s="13">
        <f t="shared" ca="1" si="57"/>
        <v>1088.5373172033808</v>
      </c>
      <c r="N32" s="13">
        <f t="shared" ca="1" si="57"/>
        <v>1230.993944703951</v>
      </c>
      <c r="P32" s="97">
        <f ca="1">+(N32/I32)^(1/5)-1</f>
        <v>0.1401105145837489</v>
      </c>
      <c r="R32" s="25"/>
      <c r="S32" s="25"/>
      <c r="T32" s="25"/>
      <c r="U32" s="25"/>
      <c r="V32" s="24">
        <f>+V33+V34</f>
        <v>73.98419351000004</v>
      </c>
      <c r="W32" s="24">
        <f t="shared" ref="W32:BA32" si="58">+W33+W34</f>
        <v>121.89780614134921</v>
      </c>
      <c r="X32" s="24">
        <f t="shared" si="58"/>
        <v>155.63171071000002</v>
      </c>
      <c r="Y32" s="24">
        <f t="shared" si="58"/>
        <v>73.479376619999996</v>
      </c>
      <c r="Z32" s="24">
        <f t="shared" si="58"/>
        <v>163.18449955</v>
      </c>
      <c r="AA32" s="24">
        <f t="shared" si="58"/>
        <v>275.76613575999994</v>
      </c>
      <c r="AB32" s="24">
        <f t="shared" si="58"/>
        <v>288.66147377000016</v>
      </c>
      <c r="AC32" s="24">
        <f t="shared" si="58"/>
        <v>128.55368470999997</v>
      </c>
      <c r="AD32" s="24">
        <f t="shared" ca="1" si="58"/>
        <v>125.15897826359864</v>
      </c>
      <c r="AE32" s="24">
        <f t="shared" ca="1" si="58"/>
        <v>203.14393354397905</v>
      </c>
      <c r="AF32" s="24">
        <f t="shared" ca="1" si="58"/>
        <v>199.02429295707697</v>
      </c>
      <c r="AG32" s="24">
        <f t="shared" ca="1" si="58"/>
        <v>111.7026699272283</v>
      </c>
      <c r="AH32" s="24">
        <f t="shared" ca="1" si="58"/>
        <v>143.39614906282782</v>
      </c>
      <c r="AI32" s="24">
        <f t="shared" ca="1" si="58"/>
        <v>232.74445173506041</v>
      </c>
      <c r="AJ32" s="24">
        <f t="shared" ca="1" si="58"/>
        <v>228.02452988941755</v>
      </c>
      <c r="AK32" s="24">
        <f t="shared" ca="1" si="58"/>
        <v>127.97909450703222</v>
      </c>
      <c r="AL32" s="24">
        <f t="shared" ca="1" si="58"/>
        <v>163.95898161638095</v>
      </c>
      <c r="AM32" s="24">
        <f t="shared" ca="1" si="58"/>
        <v>266.11972171319411</v>
      </c>
      <c r="AN32" s="24">
        <f t="shared" ca="1" si="58"/>
        <v>260.72296884236613</v>
      </c>
      <c r="AO32" s="24">
        <f t="shared" ca="1" si="58"/>
        <v>146.33114027606084</v>
      </c>
      <c r="AP32" s="24">
        <f t="shared" ca="1" si="58"/>
        <v>187.12383768970065</v>
      </c>
      <c r="AQ32" s="24">
        <f t="shared" ca="1" si="58"/>
        <v>303.71830271793328</v>
      </c>
      <c r="AR32" s="24">
        <f t="shared" ca="1" si="58"/>
        <v>297.55907253550214</v>
      </c>
      <c r="AS32" s="24">
        <f t="shared" ca="1" si="58"/>
        <v>167.00545631609799</v>
      </c>
      <c r="AT32" s="24">
        <f t="shared" ca="1" si="58"/>
        <v>213.19851202365771</v>
      </c>
      <c r="AU32" s="24">
        <f t="shared" ca="1" si="58"/>
        <v>346.03977244839393</v>
      </c>
      <c r="AV32" s="24">
        <f t="shared" ca="1" si="58"/>
        <v>339.02228752334122</v>
      </c>
      <c r="AW32" s="24">
        <f t="shared" ca="1" si="58"/>
        <v>190.276745207988</v>
      </c>
      <c r="AX32" s="24">
        <f t="shared" ca="1" si="58"/>
        <v>241.09975209235765</v>
      </c>
      <c r="AY32" s="24">
        <f t="shared" ca="1" si="58"/>
        <v>391.32591761309175</v>
      </c>
      <c r="AZ32" s="24">
        <f t="shared" ca="1" si="58"/>
        <v>383.3900560553227</v>
      </c>
      <c r="BA32" s="24">
        <f t="shared" ca="1" si="58"/>
        <v>215.1782189431789</v>
      </c>
      <c r="BB32" s="8" t="s">
        <v>75</v>
      </c>
    </row>
    <row r="33" spans="1:57" x14ac:dyDescent="0.2">
      <c r="B33" s="19" t="s">
        <v>133</v>
      </c>
      <c r="C33" s="45" t="s">
        <v>187</v>
      </c>
      <c r="D33" s="19"/>
      <c r="E33" s="11"/>
      <c r="F33" s="11"/>
      <c r="G33" s="11">
        <f t="shared" si="57"/>
        <v>380.54044082134919</v>
      </c>
      <c r="H33" s="11">
        <f t="shared" si="57"/>
        <v>503.29057318000093</v>
      </c>
      <c r="I33" s="11">
        <f t="shared" ca="1" si="57"/>
        <v>639.02987469188292</v>
      </c>
      <c r="J33" s="11">
        <f t="shared" ca="1" si="57"/>
        <v>732.14422519433799</v>
      </c>
      <c r="K33" s="11">
        <f t="shared" ca="1" si="57"/>
        <v>837.13281244800203</v>
      </c>
      <c r="L33" s="11">
        <f t="shared" ca="1" si="57"/>
        <v>955.40666925923392</v>
      </c>
      <c r="M33" s="11">
        <f t="shared" ca="1" si="57"/>
        <v>1088.5373172033808</v>
      </c>
      <c r="N33" s="11">
        <f t="shared" ca="1" si="57"/>
        <v>1230.993944703951</v>
      </c>
      <c r="P33" s="97">
        <f ca="1">+(N33/I33)^(1/5)-1</f>
        <v>0.1401105145837489</v>
      </c>
      <c r="R33" s="25"/>
      <c r="S33" s="25"/>
      <c r="T33" s="25"/>
      <c r="U33" s="25"/>
      <c r="V33" s="12">
        <v>73.918575470000036</v>
      </c>
      <c r="W33" s="12">
        <v>101.0238715613492</v>
      </c>
      <c r="X33" s="12">
        <v>132.01327775000001</v>
      </c>
      <c r="Y33" s="12">
        <v>73.584716040000004</v>
      </c>
      <c r="Z33" s="12">
        <v>98.573378810000037</v>
      </c>
      <c r="AA33" s="12">
        <v>159.99318780000056</v>
      </c>
      <c r="AB33" s="12">
        <v>156.74861919000045</v>
      </c>
      <c r="AC33" s="12">
        <v>87.975387379999887</v>
      </c>
      <c r="AD33" s="23">
        <f ca="1">+AD66</f>
        <v>125.15897826359864</v>
      </c>
      <c r="AE33" s="23">
        <f t="shared" ref="AE33:BA33" ca="1" si="59">+AE66</f>
        <v>203.14393354397905</v>
      </c>
      <c r="AF33" s="23">
        <f t="shared" ca="1" si="59"/>
        <v>199.02429295707697</v>
      </c>
      <c r="AG33" s="23">
        <f t="shared" ca="1" si="59"/>
        <v>111.7026699272283</v>
      </c>
      <c r="AH33" s="23">
        <f t="shared" ca="1" si="59"/>
        <v>143.39614906282782</v>
      </c>
      <c r="AI33" s="23">
        <f t="shared" ca="1" si="59"/>
        <v>232.74445173506041</v>
      </c>
      <c r="AJ33" s="23">
        <f t="shared" ca="1" si="59"/>
        <v>228.02452988941755</v>
      </c>
      <c r="AK33" s="23">
        <f t="shared" ca="1" si="59"/>
        <v>127.97909450703222</v>
      </c>
      <c r="AL33" s="23">
        <f t="shared" ca="1" si="59"/>
        <v>163.95898161638095</v>
      </c>
      <c r="AM33" s="23">
        <f t="shared" ca="1" si="59"/>
        <v>266.11972171319411</v>
      </c>
      <c r="AN33" s="23">
        <f t="shared" ca="1" si="59"/>
        <v>260.72296884236613</v>
      </c>
      <c r="AO33" s="23">
        <f t="shared" ca="1" si="59"/>
        <v>146.33114027606084</v>
      </c>
      <c r="AP33" s="23">
        <f t="shared" ca="1" si="59"/>
        <v>187.12383768970065</v>
      </c>
      <c r="AQ33" s="23">
        <f t="shared" ca="1" si="59"/>
        <v>303.71830271793328</v>
      </c>
      <c r="AR33" s="23">
        <f t="shared" ca="1" si="59"/>
        <v>297.55907253550214</v>
      </c>
      <c r="AS33" s="23">
        <f t="shared" ca="1" si="59"/>
        <v>167.00545631609799</v>
      </c>
      <c r="AT33" s="23">
        <f t="shared" ca="1" si="59"/>
        <v>213.19851202365771</v>
      </c>
      <c r="AU33" s="23">
        <f t="shared" ca="1" si="59"/>
        <v>346.03977244839393</v>
      </c>
      <c r="AV33" s="23">
        <f t="shared" ca="1" si="59"/>
        <v>339.02228752334122</v>
      </c>
      <c r="AW33" s="23">
        <f t="shared" ca="1" si="59"/>
        <v>190.276745207988</v>
      </c>
      <c r="AX33" s="23">
        <f t="shared" ca="1" si="59"/>
        <v>241.09975209235765</v>
      </c>
      <c r="AY33" s="23">
        <f t="shared" ca="1" si="59"/>
        <v>391.32591761309175</v>
      </c>
      <c r="AZ33" s="23">
        <f t="shared" ca="1" si="59"/>
        <v>383.3900560553227</v>
      </c>
      <c r="BA33" s="23">
        <f t="shared" ca="1" si="59"/>
        <v>215.1782189431789</v>
      </c>
      <c r="BB33" s="8" t="s">
        <v>75</v>
      </c>
    </row>
    <row r="34" spans="1:57" x14ac:dyDescent="0.2">
      <c r="B34" s="19" t="s">
        <v>145</v>
      </c>
      <c r="C34" s="45" t="s">
        <v>187</v>
      </c>
      <c r="D34" s="19"/>
      <c r="E34" s="11"/>
      <c r="F34" s="11"/>
      <c r="G34" s="11">
        <f t="shared" ref="G34:H41" si="60">+SUMIFS(34:34,$6:$6,G$3)</f>
        <v>44.452646160000008</v>
      </c>
      <c r="H34" s="11">
        <f t="shared" si="60"/>
        <v>352.87522060999913</v>
      </c>
      <c r="I34" s="11"/>
      <c r="J34" s="11"/>
      <c r="K34" s="11"/>
      <c r="L34" s="11"/>
      <c r="M34" s="11"/>
      <c r="N34" s="11"/>
      <c r="P34" s="97"/>
      <c r="R34" s="25"/>
      <c r="S34" s="25"/>
      <c r="T34" s="25"/>
      <c r="U34" s="25"/>
      <c r="V34" s="12">
        <v>6.56180399999991E-2</v>
      </c>
      <c r="W34" s="12">
        <v>20.873934580000011</v>
      </c>
      <c r="X34" s="12">
        <v>23.618432959999996</v>
      </c>
      <c r="Y34" s="12">
        <v>-0.10533941999999999</v>
      </c>
      <c r="Z34" s="12">
        <v>64.611120739999961</v>
      </c>
      <c r="AA34" s="12">
        <v>115.77294795999939</v>
      </c>
      <c r="AB34" s="12">
        <v>131.9128545799997</v>
      </c>
      <c r="AC34" s="12">
        <v>40.578297330000083</v>
      </c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8" t="s">
        <v>75</v>
      </c>
    </row>
    <row r="35" spans="1:57" x14ac:dyDescent="0.2">
      <c r="B35" s="2" t="s">
        <v>136</v>
      </c>
      <c r="C35" s="45" t="s">
        <v>187</v>
      </c>
      <c r="D35" s="2"/>
      <c r="E35" s="11"/>
      <c r="F35" s="11"/>
      <c r="G35" s="13">
        <f t="shared" si="60"/>
        <v>-241.74848383</v>
      </c>
      <c r="H35" s="13">
        <f t="shared" si="60"/>
        <v>-563.39784846999987</v>
      </c>
      <c r="I35" s="13">
        <f t="shared" ref="I35:N35" ca="1" si="61">+SUMIFS(35:35,$6:$6,I$3)</f>
        <v>-267.43440498305779</v>
      </c>
      <c r="J35" s="13">
        <f t="shared" ca="1" si="61"/>
        <v>-291.4114055047794</v>
      </c>
      <c r="K35" s="13">
        <f t="shared" ca="1" si="61"/>
        <v>-374.3775211924526</v>
      </c>
      <c r="L35" s="13">
        <f t="shared" ca="1" si="61"/>
        <v>-405.61711175646667</v>
      </c>
      <c r="M35" s="13">
        <f t="shared" ca="1" si="61"/>
        <v>-440.42395766065408</v>
      </c>
      <c r="N35" s="13">
        <f t="shared" ca="1" si="61"/>
        <v>-478.02659488215306</v>
      </c>
      <c r="P35" s="97">
        <f ca="1">+(N35/I35)^(1/5)-1</f>
        <v>0.12317377944379659</v>
      </c>
      <c r="R35" s="25"/>
      <c r="S35" s="25"/>
      <c r="T35" s="25"/>
      <c r="U35" s="25"/>
      <c r="V35" s="24">
        <f>+V36+V37</f>
        <v>-39.799035010000004</v>
      </c>
      <c r="W35" s="24">
        <f t="shared" ref="W35:AC35" si="62">+W36+W37</f>
        <v>-58.231138547680004</v>
      </c>
      <c r="X35" s="24">
        <f t="shared" si="62"/>
        <v>-83.395229922320013</v>
      </c>
      <c r="Y35" s="24">
        <f t="shared" si="62"/>
        <v>-60.323080349999991</v>
      </c>
      <c r="Z35" s="24">
        <f t="shared" si="62"/>
        <v>-117.05605598</v>
      </c>
      <c r="AA35" s="24">
        <f t="shared" si="62"/>
        <v>-169.45217458000002</v>
      </c>
      <c r="AB35" s="24">
        <f t="shared" si="62"/>
        <v>-184.84014012999995</v>
      </c>
      <c r="AC35" s="24">
        <f t="shared" si="62"/>
        <v>-92.049477779999961</v>
      </c>
      <c r="AD35" s="114">
        <f t="shared" ref="AD35:BA35" ca="1" si="63">+AD75</f>
        <v>-63.975679963863669</v>
      </c>
      <c r="AE35" s="24">
        <f t="shared" ca="1" si="63"/>
        <v>-68.063022492699787</v>
      </c>
      <c r="AF35" s="24">
        <f t="shared" ca="1" si="63"/>
        <v>-67.774331335340548</v>
      </c>
      <c r="AG35" s="24">
        <f t="shared" ca="1" si="63"/>
        <v>-67.621371191153798</v>
      </c>
      <c r="AH35" s="24">
        <f t="shared" ca="1" si="63"/>
        <v>-70.346235549547217</v>
      </c>
      <c r="AI35" s="24">
        <f t="shared" ca="1" si="63"/>
        <v>-74.044423128659531</v>
      </c>
      <c r="AJ35" s="24">
        <f t="shared" ca="1" si="63"/>
        <v>-73.736494791952737</v>
      </c>
      <c r="AK35" s="24">
        <f t="shared" ca="1" si="63"/>
        <v>-73.284252034619911</v>
      </c>
      <c r="AL35" s="24">
        <f t="shared" ca="1" si="63"/>
        <v>-90.48513321645558</v>
      </c>
      <c r="AM35" s="24">
        <f t="shared" ca="1" si="63"/>
        <v>-95.10363788721034</v>
      </c>
      <c r="AN35" s="24">
        <f t="shared" ca="1" si="63"/>
        <v>-94.678627015812737</v>
      </c>
      <c r="AO35" s="24">
        <f t="shared" ca="1" si="63"/>
        <v>-94.110123072973948</v>
      </c>
      <c r="AP35" s="24">
        <f t="shared" ca="1" si="63"/>
        <v>-97.99229710920568</v>
      </c>
      <c r="AQ35" s="24">
        <f t="shared" ca="1" si="63"/>
        <v>-103.18608206420971</v>
      </c>
      <c r="AR35" s="24">
        <f t="shared" ca="1" si="63"/>
        <v>-102.73207923077308</v>
      </c>
      <c r="AS35" s="24">
        <f t="shared" ca="1" si="63"/>
        <v>-101.70665335227821</v>
      </c>
      <c r="AT35" s="24">
        <f t="shared" ca="1" si="63"/>
        <v>-106.35645439536107</v>
      </c>
      <c r="AU35" s="24">
        <f t="shared" ca="1" si="63"/>
        <v>-112.21061271305854</v>
      </c>
      <c r="AV35" s="24">
        <f t="shared" ca="1" si="63"/>
        <v>-111.72368332546915</v>
      </c>
      <c r="AW35" s="24">
        <f t="shared" ca="1" si="63"/>
        <v>-110.13320722676532</v>
      </c>
      <c r="AX35" s="24">
        <f t="shared" ca="1" si="63"/>
        <v>-115.39525134036892</v>
      </c>
      <c r="AY35" s="24">
        <f t="shared" ca="1" si="63"/>
        <v>-121.9807976542877</v>
      </c>
      <c r="AZ35" s="24">
        <f t="shared" ca="1" si="63"/>
        <v>-121.45678288616472</v>
      </c>
      <c r="BA35" s="24">
        <f t="shared" ca="1" si="63"/>
        <v>-119.19376300133173</v>
      </c>
      <c r="BB35" s="8" t="s">
        <v>75</v>
      </c>
    </row>
    <row r="36" spans="1:57" x14ac:dyDescent="0.2">
      <c r="B36" s="19" t="s">
        <v>136</v>
      </c>
      <c r="C36" s="45" t="s">
        <v>187</v>
      </c>
      <c r="D36" s="19"/>
      <c r="E36" s="11"/>
      <c r="F36" s="11"/>
      <c r="G36" s="11">
        <f t="shared" si="60"/>
        <v>-204.27148383000002</v>
      </c>
      <c r="H36" s="11">
        <f t="shared" si="60"/>
        <v>-210.82546079000002</v>
      </c>
      <c r="R36" s="25"/>
      <c r="S36" s="25"/>
      <c r="T36" s="25"/>
      <c r="U36" s="25"/>
      <c r="V36" s="12">
        <v>-39.450421000000006</v>
      </c>
      <c r="W36" s="12">
        <v>-42.680870627680008</v>
      </c>
      <c r="X36" s="12">
        <v>-61.73646620232001</v>
      </c>
      <c r="Y36" s="12">
        <v>-60.403725999999992</v>
      </c>
      <c r="Z36" s="12">
        <v>-52.202047939999986</v>
      </c>
      <c r="AA36" s="12">
        <v>-51.914947800000036</v>
      </c>
      <c r="AB36" s="12">
        <v>-53.100817119999967</v>
      </c>
      <c r="AC36" s="12">
        <v>-53.607647930000034</v>
      </c>
      <c r="AD36" s="11"/>
      <c r="BB36" s="8" t="s">
        <v>75</v>
      </c>
    </row>
    <row r="37" spans="1:57" x14ac:dyDescent="0.2">
      <c r="B37" s="19" t="s">
        <v>145</v>
      </c>
      <c r="C37" s="45" t="s">
        <v>187</v>
      </c>
      <c r="D37" s="19"/>
      <c r="E37" s="11"/>
      <c r="F37" s="11"/>
      <c r="G37" s="11">
        <f t="shared" si="60"/>
        <v>-37.476999999999997</v>
      </c>
      <c r="H37" s="11">
        <f t="shared" si="60"/>
        <v>-352.57238767999991</v>
      </c>
      <c r="R37" s="25"/>
      <c r="S37" s="25"/>
      <c r="T37" s="25"/>
      <c r="U37" s="25"/>
      <c r="V37" s="12">
        <v>-0.34861401000000003</v>
      </c>
      <c r="W37" s="12">
        <v>-15.55026792</v>
      </c>
      <c r="X37" s="12">
        <v>-21.65876372</v>
      </c>
      <c r="Y37" s="12">
        <v>8.064564999999857E-2</v>
      </c>
      <c r="Z37" s="12">
        <v>-64.854008040000011</v>
      </c>
      <c r="AA37" s="12">
        <v>-117.53722677999998</v>
      </c>
      <c r="AB37" s="12">
        <v>-131.73932300999999</v>
      </c>
      <c r="AC37" s="12">
        <v>-38.44182984999992</v>
      </c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8" t="s">
        <v>75</v>
      </c>
    </row>
    <row r="38" spans="1:57" x14ac:dyDescent="0.2">
      <c r="B38" s="1" t="s">
        <v>137</v>
      </c>
      <c r="C38" s="45" t="s">
        <v>187</v>
      </c>
      <c r="E38" s="11"/>
      <c r="F38" s="11"/>
      <c r="G38" s="11">
        <f t="shared" si="60"/>
        <v>4.9486246999999999</v>
      </c>
      <c r="H38" s="11">
        <f t="shared" si="60"/>
        <v>-31.325862040000004</v>
      </c>
      <c r="R38" s="25"/>
      <c r="S38" s="25"/>
      <c r="T38" s="25"/>
      <c r="U38" s="25"/>
      <c r="V38" s="12">
        <v>-2.8658526499999994</v>
      </c>
      <c r="W38" s="12">
        <v>-1.19238401</v>
      </c>
      <c r="X38" s="12">
        <v>-4.6648584199999998</v>
      </c>
      <c r="Y38" s="12">
        <v>13.67171978</v>
      </c>
      <c r="Z38" s="12">
        <v>-4.9651733700000005</v>
      </c>
      <c r="AA38" s="12">
        <v>-6.4382411700000013</v>
      </c>
      <c r="AB38" s="12">
        <v>-8.8834315000000021</v>
      </c>
      <c r="AC38" s="12">
        <v>-11.039016</v>
      </c>
      <c r="BB38" s="8" t="s">
        <v>75</v>
      </c>
    </row>
    <row r="39" spans="1:57" x14ac:dyDescent="0.2">
      <c r="B39" s="1" t="s">
        <v>138</v>
      </c>
      <c r="C39" s="45" t="s">
        <v>187</v>
      </c>
      <c r="E39" s="11"/>
      <c r="F39" s="11"/>
      <c r="G39" s="11">
        <f t="shared" si="60"/>
        <v>38.873747250000001</v>
      </c>
      <c r="H39" s="11">
        <f t="shared" si="60"/>
        <v>17.988429849999996</v>
      </c>
      <c r="I39" s="11"/>
      <c r="J39" s="11"/>
      <c r="K39" s="11"/>
      <c r="L39" s="11"/>
      <c r="M39" s="11"/>
      <c r="N39" s="11"/>
      <c r="R39" s="25"/>
      <c r="S39" s="25"/>
      <c r="T39" s="25"/>
      <c r="U39" s="25"/>
      <c r="V39" s="12">
        <v>-0.90238962</v>
      </c>
      <c r="W39" s="12">
        <v>16.678842340000003</v>
      </c>
      <c r="X39" s="12">
        <v>1.3030543300000001</v>
      </c>
      <c r="Y39" s="12">
        <v>21.794240199999997</v>
      </c>
      <c r="Z39" s="12">
        <v>6.7789589599999998</v>
      </c>
      <c r="AA39" s="12">
        <v>5.0301845799999994</v>
      </c>
      <c r="AB39" s="12">
        <v>0.46057311999999939</v>
      </c>
      <c r="AC39" s="12">
        <v>5.7187131899999972</v>
      </c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8" t="s">
        <v>75</v>
      </c>
    </row>
    <row r="40" spans="1:57" x14ac:dyDescent="0.2">
      <c r="B40" s="1" t="s">
        <v>14</v>
      </c>
      <c r="C40" s="45" t="s">
        <v>187</v>
      </c>
      <c r="E40" s="11"/>
      <c r="F40" s="11"/>
      <c r="G40" s="11">
        <f t="shared" si="60"/>
        <v>3.2247599999998544E-3</v>
      </c>
      <c r="H40" s="11">
        <f t="shared" si="60"/>
        <v>0</v>
      </c>
      <c r="R40" s="25"/>
      <c r="S40" s="25"/>
      <c r="T40" s="25"/>
      <c r="U40" s="25"/>
      <c r="V40" s="12">
        <v>2.96948E-3</v>
      </c>
      <c r="W40" s="12">
        <v>-2.4528319999999972E-2</v>
      </c>
      <c r="X40" s="12">
        <v>-0.13666568000000021</v>
      </c>
      <c r="Y40" s="12">
        <v>0.16144928000000003</v>
      </c>
      <c r="Z40" s="12">
        <v>0</v>
      </c>
      <c r="AA40" s="12">
        <v>0</v>
      </c>
      <c r="AB40" s="12">
        <v>0</v>
      </c>
      <c r="AC40" s="12">
        <v>0</v>
      </c>
      <c r="BB40" s="8" t="s">
        <v>75</v>
      </c>
    </row>
    <row r="41" spans="1:57" s="2" customFormat="1" x14ac:dyDescent="0.2">
      <c r="B41" s="18" t="s">
        <v>140</v>
      </c>
      <c r="C41" s="45" t="s">
        <v>187</v>
      </c>
      <c r="D41" s="18"/>
      <c r="E41" s="11"/>
      <c r="F41" s="11"/>
      <c r="G41" s="13">
        <f t="shared" si="60"/>
        <v>227.07019986134924</v>
      </c>
      <c r="H41" s="13">
        <f t="shared" si="60"/>
        <v>279.43051313000012</v>
      </c>
      <c r="I41" s="1"/>
      <c r="J41" s="1"/>
      <c r="K41" s="1"/>
      <c r="L41" s="1"/>
      <c r="M41" s="1"/>
      <c r="N41" s="1"/>
      <c r="O41" s="1"/>
      <c r="R41" s="25"/>
      <c r="S41" s="25"/>
      <c r="T41" s="25"/>
      <c r="U41" s="25"/>
      <c r="V41" s="24">
        <f>+SUM(V38:V40,V35,V32)</f>
        <v>30.419885710000038</v>
      </c>
      <c r="W41" s="24">
        <f t="shared" ref="W41:BA41" si="64">+SUM(W38:W40,W35,W32)</f>
        <v>79.128597603669206</v>
      </c>
      <c r="X41" s="24">
        <f t="shared" si="64"/>
        <v>68.738011017680009</v>
      </c>
      <c r="Y41" s="24">
        <f t="shared" si="64"/>
        <v>48.783705529999999</v>
      </c>
      <c r="Z41" s="24">
        <f t="shared" si="64"/>
        <v>47.942229159999997</v>
      </c>
      <c r="AA41" s="24">
        <f t="shared" si="64"/>
        <v>104.90590458999992</v>
      </c>
      <c r="AB41" s="24">
        <f t="shared" si="64"/>
        <v>95.398475260000197</v>
      </c>
      <c r="AC41" s="24">
        <f t="shared" si="64"/>
        <v>31.183904120000008</v>
      </c>
      <c r="AD41" s="24">
        <f t="shared" ca="1" si="64"/>
        <v>61.183298299734972</v>
      </c>
      <c r="AE41" s="24">
        <f t="shared" ca="1" si="64"/>
        <v>135.08091105127926</v>
      </c>
      <c r="AF41" s="24">
        <f t="shared" ca="1" si="64"/>
        <v>131.24996162173642</v>
      </c>
      <c r="AG41" s="24">
        <f t="shared" ca="1" si="64"/>
        <v>44.081298736074501</v>
      </c>
      <c r="AH41" s="24">
        <f t="shared" ca="1" si="64"/>
        <v>73.0499135132806</v>
      </c>
      <c r="AI41" s="24">
        <f t="shared" ca="1" si="64"/>
        <v>158.70002860640088</v>
      </c>
      <c r="AJ41" s="24">
        <f t="shared" ca="1" si="64"/>
        <v>154.28803509746481</v>
      </c>
      <c r="AK41" s="24">
        <f t="shared" ca="1" si="64"/>
        <v>54.694842472412304</v>
      </c>
      <c r="AL41" s="24">
        <f t="shared" ca="1" si="64"/>
        <v>73.473848399925373</v>
      </c>
      <c r="AM41" s="24">
        <f t="shared" ca="1" si="64"/>
        <v>171.01608382598377</v>
      </c>
      <c r="AN41" s="24">
        <f t="shared" ca="1" si="64"/>
        <v>166.04434182655339</v>
      </c>
      <c r="AO41" s="24">
        <f t="shared" ca="1" si="64"/>
        <v>52.221017203086888</v>
      </c>
      <c r="AP41" s="24">
        <f t="shared" ca="1" si="64"/>
        <v>89.131540580494971</v>
      </c>
      <c r="AQ41" s="24">
        <f t="shared" ca="1" si="64"/>
        <v>200.53222065372358</v>
      </c>
      <c r="AR41" s="24">
        <f t="shared" ca="1" si="64"/>
        <v>194.82699330472906</v>
      </c>
      <c r="AS41" s="24">
        <f t="shared" ca="1" si="64"/>
        <v>65.298802963819782</v>
      </c>
      <c r="AT41" s="24">
        <f t="shared" ca="1" si="64"/>
        <v>106.84205762829664</v>
      </c>
      <c r="AU41" s="24">
        <f t="shared" ca="1" si="64"/>
        <v>233.82915973533539</v>
      </c>
      <c r="AV41" s="24">
        <f t="shared" ca="1" si="64"/>
        <v>227.29860419787207</v>
      </c>
      <c r="AW41" s="24">
        <f t="shared" ca="1" si="64"/>
        <v>80.143537981222678</v>
      </c>
      <c r="AX41" s="24">
        <f t="shared" ca="1" si="64"/>
        <v>125.70450075198873</v>
      </c>
      <c r="AY41" s="24">
        <f t="shared" ca="1" si="64"/>
        <v>269.34511995880405</v>
      </c>
      <c r="AZ41" s="24">
        <f t="shared" ca="1" si="64"/>
        <v>261.93327316915799</v>
      </c>
      <c r="BA41" s="24">
        <f t="shared" ca="1" si="64"/>
        <v>95.984455941847173</v>
      </c>
      <c r="BB41" s="8" t="s">
        <v>75</v>
      </c>
    </row>
    <row r="42" spans="1:57" s="25" customFormat="1" x14ac:dyDescent="0.2">
      <c r="B42" s="26" t="s">
        <v>141</v>
      </c>
      <c r="C42" s="45" t="s">
        <v>177</v>
      </c>
      <c r="D42" s="26"/>
      <c r="E42" s="11"/>
      <c r="F42" s="11"/>
      <c r="G42" s="30">
        <f>+G41/G33</f>
        <v>0.59670451679523595</v>
      </c>
      <c r="H42" s="30">
        <f>+H41/H33</f>
        <v>0.55520712689776985</v>
      </c>
      <c r="I42" s="1"/>
      <c r="J42" s="1"/>
      <c r="K42" s="1"/>
      <c r="L42" s="1"/>
      <c r="M42" s="1"/>
      <c r="N42" s="1"/>
      <c r="O42" s="1"/>
      <c r="V42" s="30">
        <f>+V41/V33</f>
        <v>0.41153235863353449</v>
      </c>
      <c r="W42" s="30">
        <f t="shared" ref="W42:AC42" si="65">+W41/W33</f>
        <v>0.78326633478520413</v>
      </c>
      <c r="X42" s="30">
        <f t="shared" si="65"/>
        <v>0.52069013200211978</v>
      </c>
      <c r="Y42" s="30">
        <f t="shared" si="65"/>
        <v>0.6629597578861568</v>
      </c>
      <c r="Z42" s="30">
        <f t="shared" si="65"/>
        <v>0.48636081809073961</v>
      </c>
      <c r="AA42" s="30">
        <f t="shared" si="65"/>
        <v>0.65568982050121738</v>
      </c>
      <c r="AB42" s="30">
        <f t="shared" si="65"/>
        <v>0.60860807420806928</v>
      </c>
      <c r="AC42" s="30">
        <f t="shared" si="65"/>
        <v>0.35446168580428761</v>
      </c>
      <c r="BB42" s="8" t="s">
        <v>75</v>
      </c>
    </row>
    <row r="43" spans="1:57" x14ac:dyDescent="0.2">
      <c r="B43" s="1" t="s">
        <v>142</v>
      </c>
      <c r="C43" s="45" t="s">
        <v>187</v>
      </c>
      <c r="E43" s="11"/>
      <c r="F43" s="11"/>
      <c r="G43" s="11">
        <f>+SUMIFS(43:43,$6:$6,G$3)</f>
        <v>-43.197097800000009</v>
      </c>
      <c r="H43" s="11">
        <f>+SUMIFS(43:43,$6:$6,H$3)</f>
        <v>9.8666043099999996</v>
      </c>
      <c r="R43" s="25"/>
      <c r="S43" s="25"/>
      <c r="T43" s="25"/>
      <c r="U43" s="25"/>
      <c r="V43" s="12">
        <v>-3.551921140000001</v>
      </c>
      <c r="W43" s="12">
        <v>-21.029552620000004</v>
      </c>
      <c r="X43" s="12">
        <v>0.88387419999999395</v>
      </c>
      <c r="Y43" s="12">
        <v>-19.499498239999998</v>
      </c>
      <c r="Z43" s="12">
        <v>0.81354870000000545</v>
      </c>
      <c r="AA43" s="12">
        <v>1.7497812299999964</v>
      </c>
      <c r="AB43" s="12">
        <v>3.8295644899999957</v>
      </c>
      <c r="AC43" s="12">
        <v>3.4737098900000021</v>
      </c>
      <c r="BB43" s="8" t="s">
        <v>75</v>
      </c>
    </row>
    <row r="44" spans="1:57" s="2" customFormat="1" x14ac:dyDescent="0.2">
      <c r="B44" s="18" t="s">
        <v>4</v>
      </c>
      <c r="C44" s="45" t="s">
        <v>187</v>
      </c>
      <c r="D44" s="18"/>
      <c r="E44" s="11"/>
      <c r="F44" s="11"/>
      <c r="G44" s="13">
        <f>+SUMIFS(44:44,$6:$6,G$3)</f>
        <v>183.87310206134927</v>
      </c>
      <c r="H44" s="13">
        <f>+SUMIFS(44:44,$6:$6,H$3)</f>
        <v>289.29711744000014</v>
      </c>
      <c r="I44" s="13">
        <f t="shared" ref="I44:N44" ca="1" si="66">+SUMIFS(44:44,$6:$6,I$3)</f>
        <v>371.59546970882514</v>
      </c>
      <c r="J44" s="13">
        <f t="shared" ca="1" si="66"/>
        <v>440.73281968955854</v>
      </c>
      <c r="K44" s="13">
        <f t="shared" ca="1" si="66"/>
        <v>462.75529125554942</v>
      </c>
      <c r="L44" s="13">
        <f t="shared" ca="1" si="66"/>
        <v>549.78955750276737</v>
      </c>
      <c r="M44" s="13">
        <f t="shared" ca="1" si="66"/>
        <v>648.11335954272681</v>
      </c>
      <c r="N44" s="13">
        <f t="shared" ca="1" si="66"/>
        <v>752.96734982179794</v>
      </c>
      <c r="P44" s="97">
        <f ca="1">+(N44/I44)^(1/5)-1</f>
        <v>0.15170472030082371</v>
      </c>
      <c r="R44" s="25"/>
      <c r="S44" s="25"/>
      <c r="T44" s="25"/>
      <c r="U44" s="25"/>
      <c r="V44" s="24">
        <f>+V41+V43</f>
        <v>26.867964570000037</v>
      </c>
      <c r="W44" s="24">
        <f t="shared" ref="W44:BA44" si="67">+W41+W43</f>
        <v>58.099044983669202</v>
      </c>
      <c r="X44" s="24">
        <f t="shared" si="67"/>
        <v>69.621885217680003</v>
      </c>
      <c r="Y44" s="24">
        <f t="shared" si="67"/>
        <v>29.284207290000001</v>
      </c>
      <c r="Z44" s="24">
        <f t="shared" si="67"/>
        <v>48.755777860000002</v>
      </c>
      <c r="AA44" s="24">
        <f t="shared" si="67"/>
        <v>106.65568581999992</v>
      </c>
      <c r="AB44" s="24">
        <f t="shared" si="67"/>
        <v>99.228039750000192</v>
      </c>
      <c r="AC44" s="24">
        <f t="shared" si="67"/>
        <v>34.65761401000001</v>
      </c>
      <c r="AD44" s="24">
        <f t="shared" ca="1" si="67"/>
        <v>61.183298299734972</v>
      </c>
      <c r="AE44" s="24">
        <f t="shared" ca="1" si="67"/>
        <v>135.08091105127926</v>
      </c>
      <c r="AF44" s="24">
        <f t="shared" ca="1" si="67"/>
        <v>131.24996162173642</v>
      </c>
      <c r="AG44" s="24">
        <f t="shared" ca="1" si="67"/>
        <v>44.081298736074501</v>
      </c>
      <c r="AH44" s="24">
        <f t="shared" ca="1" si="67"/>
        <v>73.0499135132806</v>
      </c>
      <c r="AI44" s="24">
        <f t="shared" ca="1" si="67"/>
        <v>158.70002860640088</v>
      </c>
      <c r="AJ44" s="24">
        <f t="shared" ca="1" si="67"/>
        <v>154.28803509746481</v>
      </c>
      <c r="AK44" s="24">
        <f t="shared" ca="1" si="67"/>
        <v>54.694842472412304</v>
      </c>
      <c r="AL44" s="24">
        <f t="shared" ca="1" si="67"/>
        <v>73.473848399925373</v>
      </c>
      <c r="AM44" s="24">
        <f t="shared" ca="1" si="67"/>
        <v>171.01608382598377</v>
      </c>
      <c r="AN44" s="24">
        <f t="shared" ca="1" si="67"/>
        <v>166.04434182655339</v>
      </c>
      <c r="AO44" s="24">
        <f t="shared" ca="1" si="67"/>
        <v>52.221017203086888</v>
      </c>
      <c r="AP44" s="24">
        <f t="shared" ca="1" si="67"/>
        <v>89.131540580494971</v>
      </c>
      <c r="AQ44" s="24">
        <f t="shared" ca="1" si="67"/>
        <v>200.53222065372358</v>
      </c>
      <c r="AR44" s="24">
        <f t="shared" ca="1" si="67"/>
        <v>194.82699330472906</v>
      </c>
      <c r="AS44" s="24">
        <f t="shared" ca="1" si="67"/>
        <v>65.298802963819782</v>
      </c>
      <c r="AT44" s="24">
        <f t="shared" ca="1" si="67"/>
        <v>106.84205762829664</v>
      </c>
      <c r="AU44" s="24">
        <f t="shared" ca="1" si="67"/>
        <v>233.82915973533539</v>
      </c>
      <c r="AV44" s="24">
        <f t="shared" ca="1" si="67"/>
        <v>227.29860419787207</v>
      </c>
      <c r="AW44" s="24">
        <f t="shared" ca="1" si="67"/>
        <v>80.143537981222678</v>
      </c>
      <c r="AX44" s="24">
        <f t="shared" ca="1" si="67"/>
        <v>125.70450075198873</v>
      </c>
      <c r="AY44" s="24">
        <f t="shared" ca="1" si="67"/>
        <v>269.34511995880405</v>
      </c>
      <c r="AZ44" s="24">
        <f t="shared" ca="1" si="67"/>
        <v>261.93327316915799</v>
      </c>
      <c r="BA44" s="24">
        <f t="shared" ca="1" si="67"/>
        <v>95.984455941847173</v>
      </c>
      <c r="BB44" s="8" t="s">
        <v>75</v>
      </c>
    </row>
    <row r="45" spans="1:57" s="25" customFormat="1" x14ac:dyDescent="0.2">
      <c r="B45" s="26" t="s">
        <v>141</v>
      </c>
      <c r="C45" s="45" t="s">
        <v>177</v>
      </c>
      <c r="D45" s="26"/>
      <c r="E45" s="11"/>
      <c r="F45" s="11"/>
      <c r="G45" s="30">
        <f t="shared" ref="G45:N45" si="68">+G44/G33</f>
        <v>0.48318938629618985</v>
      </c>
      <c r="H45" s="30">
        <f t="shared" si="68"/>
        <v>0.57481131747034242</v>
      </c>
      <c r="I45" s="30">
        <f t="shared" ca="1" si="68"/>
        <v>0.58149937025713394</v>
      </c>
      <c r="J45" s="30">
        <f t="shared" ca="1" si="68"/>
        <v>0.60197540938408933</v>
      </c>
      <c r="K45" s="30">
        <f t="shared" ca="1" si="68"/>
        <v>0.55278599091382907</v>
      </c>
      <c r="L45" s="30">
        <f t="shared" ca="1" si="68"/>
        <v>0.57545082653551272</v>
      </c>
      <c r="M45" s="30">
        <f t="shared" ca="1" si="68"/>
        <v>0.59539838395970601</v>
      </c>
      <c r="N45" s="30">
        <f t="shared" ca="1" si="68"/>
        <v>0.61167429219392588</v>
      </c>
      <c r="V45" s="30">
        <f>+V44/V33</f>
        <v>0.36348055139272051</v>
      </c>
      <c r="W45" s="30">
        <f t="shared" ref="W45:BA45" si="69">+W44/W33</f>
        <v>0.57510214255040848</v>
      </c>
      <c r="X45" s="30">
        <f t="shared" si="69"/>
        <v>0.52738547519080892</v>
      </c>
      <c r="Y45" s="30">
        <f t="shared" si="69"/>
        <v>0.39796589381525049</v>
      </c>
      <c r="Z45" s="30">
        <f t="shared" si="69"/>
        <v>0.49461404740905407</v>
      </c>
      <c r="AA45" s="30">
        <f t="shared" si="69"/>
        <v>0.66662641882806184</v>
      </c>
      <c r="AB45" s="30">
        <f t="shared" si="69"/>
        <v>0.63303932285184872</v>
      </c>
      <c r="AC45" s="30">
        <f t="shared" si="69"/>
        <v>0.39394670534726156</v>
      </c>
      <c r="AD45" s="30">
        <f t="shared" ca="1" si="69"/>
        <v>0.48884466099488433</v>
      </c>
      <c r="AE45" s="30">
        <f t="shared" ca="1" si="69"/>
        <v>0.66495173493347426</v>
      </c>
      <c r="AF45" s="30">
        <f t="shared" ca="1" si="69"/>
        <v>0.65946704129250566</v>
      </c>
      <c r="AG45" s="30">
        <f t="shared" ca="1" si="69"/>
        <v>0.39463066339231145</v>
      </c>
      <c r="AH45" s="30">
        <f t="shared" ca="1" si="69"/>
        <v>0.50942730324839058</v>
      </c>
      <c r="AI45" s="30">
        <f t="shared" ca="1" si="69"/>
        <v>0.6818638529224903</v>
      </c>
      <c r="AJ45" s="30">
        <f t="shared" ca="1" si="69"/>
        <v>0.67662911166745143</v>
      </c>
      <c r="AK45" s="30">
        <f t="shared" ca="1" si="69"/>
        <v>0.42737325719558772</v>
      </c>
      <c r="AL45" s="30">
        <f t="shared" ca="1" si="69"/>
        <v>0.44812335180169649</v>
      </c>
      <c r="AM45" s="30">
        <f t="shared" ca="1" si="69"/>
        <v>0.64262837314362353</v>
      </c>
      <c r="AN45" s="30">
        <f t="shared" ca="1" si="69"/>
        <v>0.63686119624905113</v>
      </c>
      <c r="AO45" s="30">
        <f t="shared" ca="1" si="69"/>
        <v>0.35686879159534596</v>
      </c>
      <c r="AP45" s="30">
        <f t="shared" ca="1" si="69"/>
        <v>0.47632381678863356</v>
      </c>
      <c r="AQ45" s="30">
        <f t="shared" ca="1" si="69"/>
        <v>0.66025728070777545</v>
      </c>
      <c r="AR45" s="30">
        <f t="shared" ca="1" si="69"/>
        <v>0.654750640417741</v>
      </c>
      <c r="AS45" s="30">
        <f t="shared" ca="1" si="69"/>
        <v>0.39099802128755656</v>
      </c>
      <c r="AT45" s="30">
        <f t="shared" ca="1" si="69"/>
        <v>0.50113885230325084</v>
      </c>
      <c r="AU45" s="30">
        <f t="shared" ca="1" si="69"/>
        <v>0.67572914547043028</v>
      </c>
      <c r="AV45" s="30">
        <f t="shared" ca="1" si="69"/>
        <v>0.67045327862765625</v>
      </c>
      <c r="AW45" s="30">
        <f t="shared" ca="1" si="69"/>
        <v>0.42119460207089027</v>
      </c>
      <c r="AX45" s="30">
        <f t="shared" ca="1" si="69"/>
        <v>0.52137963503104445</v>
      </c>
      <c r="AY45" s="30">
        <f t="shared" ca="1" si="69"/>
        <v>0.68828847729198595</v>
      </c>
      <c r="AZ45" s="30">
        <f t="shared" ca="1" si="69"/>
        <v>0.68320309573016502</v>
      </c>
      <c r="BA45" s="30">
        <f t="shared" ca="1" si="69"/>
        <v>0.44606957160098687</v>
      </c>
      <c r="BB45" s="8" t="s">
        <v>75</v>
      </c>
    </row>
    <row r="46" spans="1:57" x14ac:dyDescent="0.2">
      <c r="E46" s="11"/>
      <c r="F46" s="11"/>
      <c r="G46" s="11"/>
      <c r="H46" s="11"/>
      <c r="I46" s="11"/>
      <c r="J46" s="11"/>
      <c r="K46" s="11"/>
      <c r="L46" s="11"/>
      <c r="M46" s="11"/>
      <c r="N46" s="11"/>
      <c r="R46" s="25"/>
      <c r="S46" s="25"/>
      <c r="T46" s="25"/>
      <c r="U46" s="25"/>
      <c r="V46" s="12"/>
      <c r="W46" s="12"/>
      <c r="X46" s="12"/>
      <c r="Y46" s="12"/>
      <c r="Z46" s="12"/>
      <c r="AA46" s="12"/>
      <c r="AB46" s="12"/>
      <c r="AC46" s="12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8" t="s">
        <v>75</v>
      </c>
    </row>
    <row r="47" spans="1:57" s="35" customFormat="1" x14ac:dyDescent="0.2">
      <c r="A47" s="17" t="s">
        <v>75</v>
      </c>
      <c r="B47" s="36" t="s">
        <v>534</v>
      </c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37"/>
      <c r="P47" s="37"/>
      <c r="Q47" s="37"/>
      <c r="U47" s="37"/>
      <c r="V47" s="37"/>
      <c r="W47" s="37"/>
      <c r="X47" s="37"/>
      <c r="Y47" s="44"/>
      <c r="Z47" s="44"/>
      <c r="AA47" s="44"/>
      <c r="AB47" s="44"/>
      <c r="AC47" s="44"/>
      <c r="AD47" s="44"/>
      <c r="AE47" s="44"/>
      <c r="AF47" s="44"/>
      <c r="BB47" s="90" t="s">
        <v>75</v>
      </c>
      <c r="BE47" s="90"/>
    </row>
    <row r="48" spans="1:57" s="2" customFormat="1" x14ac:dyDescent="0.2">
      <c r="B48" s="2" t="s">
        <v>224</v>
      </c>
      <c r="C48" s="45" t="s">
        <v>187</v>
      </c>
      <c r="E48" s="13"/>
      <c r="F48" s="13"/>
      <c r="G48" s="13"/>
      <c r="H48" s="13">
        <f ca="1">+SUMIFS(48:48,$6:$6,H$3)</f>
        <v>136.81187262773423</v>
      </c>
      <c r="I48" s="13">
        <f>+SUMIFS(48:48,$6:$6,I$3)</f>
        <v>46.828930520502311</v>
      </c>
      <c r="J48" s="13">
        <f>+SUMIFS(48:48,$6:$6,J$3)</f>
        <v>22.312131769450737</v>
      </c>
      <c r="K48" s="13">
        <f>+SUMIFS(48:48,$6:$6,K$3)</f>
        <v>22.981495722534262</v>
      </c>
      <c r="L48" s="13">
        <f t="shared" ref="L48:N51" si="70">+SUMIFS(48:48,$6:$6,L$3)</f>
        <v>23.670940594210286</v>
      </c>
      <c r="M48" s="13">
        <f t="shared" si="70"/>
        <v>24.381068812036592</v>
      </c>
      <c r="N48" s="13">
        <f t="shared" si="70"/>
        <v>25.112500876397689</v>
      </c>
      <c r="P48" s="131"/>
      <c r="R48" s="32"/>
      <c r="S48" s="32"/>
      <c r="T48" s="32"/>
      <c r="U48" s="32"/>
      <c r="V48" s="24">
        <f t="shared" ref="V48:AC48" ca="1" si="71">+SUM(V49:V51)</f>
        <v>35.029752896300522</v>
      </c>
      <c r="W48" s="24">
        <f t="shared" ca="1" si="71"/>
        <v>47.874857367319095</v>
      </c>
      <c r="X48" s="24">
        <f t="shared" ca="1" si="71"/>
        <v>62.560627950548167</v>
      </c>
      <c r="Y48" s="24">
        <f t="shared" ca="1" si="71"/>
        <v>34.871538086820763</v>
      </c>
      <c r="Z48" s="24">
        <f t="shared" ca="1" si="71"/>
        <v>26.795670860729345</v>
      </c>
      <c r="AA48" s="24">
        <f t="shared" ca="1" si="71"/>
        <v>43.49170995255318</v>
      </c>
      <c r="AB48" s="24">
        <f t="shared" ca="1" si="71"/>
        <v>42.609723420203558</v>
      </c>
      <c r="AC48" s="24">
        <f t="shared" ca="1" si="71"/>
        <v>23.914768394248149</v>
      </c>
      <c r="AD48" s="24">
        <f>+SUM(AD49:AD51)</f>
        <v>9.1340788109122641</v>
      </c>
      <c r="AE48" s="24">
        <f t="shared" ref="AE48:AI48" si="72">+SUM(AE49:AE51)</f>
        <v>13.65927315988797</v>
      </c>
      <c r="AF48" s="24">
        <f t="shared" si="72"/>
        <v>15.41508972922281</v>
      </c>
      <c r="AG48" s="24">
        <f t="shared" si="72"/>
        <v>8.6204888204792649</v>
      </c>
      <c r="AH48" s="24">
        <f t="shared" si="72"/>
        <v>4.3520270003261281</v>
      </c>
      <c r="AI48" s="24">
        <f t="shared" si="72"/>
        <v>6.5081029874237899</v>
      </c>
      <c r="AJ48" s="24">
        <f t="shared" ref="AJ48" si="73">+SUM(AJ49:AJ51)</f>
        <v>7.3446800824490994</v>
      </c>
      <c r="AK48" s="24">
        <f t="shared" ref="AK48" si="74">+SUM(AK49:AK51)</f>
        <v>4.1073216992517203</v>
      </c>
      <c r="AL48" s="24">
        <f t="shared" ref="AL48" si="75">+SUM(AL49:AL51)</f>
        <v>4.4825878103359109</v>
      </c>
      <c r="AM48" s="24">
        <f t="shared" ref="AM48" si="76">+SUM(AM49:AM51)</f>
        <v>6.7033460770465032</v>
      </c>
      <c r="AN48" s="24">
        <f t="shared" ref="AN48" si="77">+SUM(AN49:AN51)</f>
        <v>7.565020484922572</v>
      </c>
      <c r="AO48" s="24">
        <f t="shared" ref="AO48" si="78">+SUM(AO49:AO51)</f>
        <v>4.2305413502292719</v>
      </c>
      <c r="AP48" s="24">
        <f t="shared" ref="AP48" si="79">+SUM(AP49:AP51)</f>
        <v>4.6170654446459887</v>
      </c>
      <c r="AQ48" s="24">
        <f t="shared" ref="AQ48" si="80">+SUM(AQ49:AQ51)</f>
        <v>6.9044464593578994</v>
      </c>
      <c r="AR48" s="24">
        <f t="shared" ref="AR48" si="81">+SUM(AR49:AR51)</f>
        <v>7.7919710994702491</v>
      </c>
      <c r="AS48" s="24">
        <f t="shared" ref="AS48" si="82">+SUM(AS49:AS51)</f>
        <v>4.3574575907361499</v>
      </c>
      <c r="AT48" s="24">
        <f t="shared" ref="AT48" si="83">+SUM(AT49:AT51)</f>
        <v>4.7555774079853679</v>
      </c>
      <c r="AU48" s="24">
        <f t="shared" ref="AU48" si="84">+SUM(AU49:AU51)</f>
        <v>7.1115798531386343</v>
      </c>
      <c r="AV48" s="24">
        <f t="shared" ref="AV48" si="85">+SUM(AV49:AV51)</f>
        <v>8.0257302324543556</v>
      </c>
      <c r="AW48" s="24">
        <f t="shared" ref="AW48" si="86">+SUM(AW49:AW51)</f>
        <v>4.4881813184582349</v>
      </c>
      <c r="AX48" s="24">
        <f t="shared" ref="AX48" si="87">+SUM(AX49:AX51)</f>
        <v>4.8982447302249286</v>
      </c>
      <c r="AY48" s="24">
        <f t="shared" ref="AY48" si="88">+SUM(AY49:AY51)</f>
        <v>7.3249272487327932</v>
      </c>
      <c r="AZ48" s="24">
        <f t="shared" ref="AZ48" si="89">+SUM(AZ49:AZ51)</f>
        <v>8.2665021394279865</v>
      </c>
      <c r="BA48" s="24">
        <f t="shared" ref="BA48" si="90">+SUM(BA49:BA51)</f>
        <v>4.6228267580119811</v>
      </c>
      <c r="BB48" s="8" t="s">
        <v>75</v>
      </c>
    </row>
    <row r="49" spans="2:54" s="25" customFormat="1" x14ac:dyDescent="0.2">
      <c r="B49" s="19" t="s">
        <v>518</v>
      </c>
      <c r="C49" s="45" t="s">
        <v>187</v>
      </c>
      <c r="D49" s="26"/>
      <c r="E49" s="11"/>
      <c r="F49" s="11"/>
      <c r="G49" s="30"/>
      <c r="H49" s="11">
        <f ca="1">+SUMIFS(49:49,$6:$6,H$3)</f>
        <v>24.805080053967558</v>
      </c>
      <c r="I49" s="11">
        <f>+SUMIFS(49:49,$6:$6,I$3)</f>
        <v>8.4904573564565631</v>
      </c>
      <c r="J49" s="11">
        <f>+SUMIFS(49:49,$6:$6,J$3)</f>
        <v>8.7451710771502604</v>
      </c>
      <c r="K49" s="11">
        <f>+SUMIFS(49:49,$6:$6,K$3)</f>
        <v>9.0075262094647677</v>
      </c>
      <c r="L49" s="11">
        <f t="shared" si="70"/>
        <v>9.2777519957487105</v>
      </c>
      <c r="M49" s="11">
        <f t="shared" si="70"/>
        <v>9.5560845556211707</v>
      </c>
      <c r="N49" s="11">
        <f t="shared" si="70"/>
        <v>9.8427670922898063</v>
      </c>
      <c r="V49" s="46">
        <f ca="1">+SUMIFS('Contract CF'!52:52,'Contract CF'!$3:$3,V$6)*V$8</f>
        <v>6.3511726590261697</v>
      </c>
      <c r="W49" s="46">
        <f ca="1">+SUMIFS('Contract CF'!52:52,'Contract CF'!$3:$3,W$6)*W$8</f>
        <v>8.6800922080785341</v>
      </c>
      <c r="X49" s="46">
        <f ca="1">+SUMIFS('Contract CF'!52:52,'Contract CF'!$3:$3,X$6)*X$8</f>
        <v>11.342739155119535</v>
      </c>
      <c r="Y49" s="46">
        <f ca="1">+SUMIFS('Contract CF'!52:52,'Contract CF'!$3:$3,Y$6)*Y$8</f>
        <v>6.3224870563844515</v>
      </c>
      <c r="Z49" s="46">
        <f ca="1">+SUMIFS('Contract CF'!52:52,'Contract CF'!$3:$3,Z$6)*Z$8</f>
        <v>4.8582681315146097</v>
      </c>
      <c r="AA49" s="46">
        <f ca="1">+SUMIFS('Contract CF'!52:52,'Contract CF'!$3:$3,AA$6)*AA$8</f>
        <v>7.8853927392140957</v>
      </c>
      <c r="AB49" s="46">
        <f ca="1">+SUMIFS('Contract CF'!52:52,'Contract CF'!$3:$3,AB$6)*AB$8</f>
        <v>7.7254815698013131</v>
      </c>
      <c r="AC49" s="46">
        <f ca="1">+SUMIFS('Contract CF'!52:52,'Contract CF'!$3:$3,AC$6)*AC$8</f>
        <v>4.3359376134375394</v>
      </c>
      <c r="AD49" s="46">
        <f>+SUMIFS('Contract CF'!52:52,'Contract CF'!$3:$3,AD$6)*AD$8</f>
        <v>1.656081097145931</v>
      </c>
      <c r="AE49" s="46">
        <f>+SUMIFS('Contract CF'!52:52,'Contract CF'!$3:$3,AE$6)*AE$8</f>
        <v>2.4765348043437769</v>
      </c>
      <c r="AF49" s="46">
        <f>+SUMIFS('Contract CF'!52:52,'Contract CF'!$3:$3,AF$6)*AF$8</f>
        <v>2.7948783057220656</v>
      </c>
      <c r="AG49" s="46">
        <f>+SUMIFS('Contract CF'!52:52,'Contract CF'!$3:$3,AG$6)*AG$8</f>
        <v>1.5629631492447895</v>
      </c>
      <c r="AH49" s="46">
        <f>+SUMIFS('Contract CF'!52:52,'Contract CF'!$3:$3,AH$6)*AH$8</f>
        <v>1.7057635300603091</v>
      </c>
      <c r="AI49" s="46">
        <f>+SUMIFS('Contract CF'!52:52,'Contract CF'!$3:$3,AI$6)*AI$8</f>
        <v>2.5508308484740905</v>
      </c>
      <c r="AJ49" s="46">
        <f>+SUMIFS('Contract CF'!52:52,'Contract CF'!$3:$3,AJ$6)*AJ$8</f>
        <v>2.8787246548937278</v>
      </c>
      <c r="AK49" s="46">
        <f>+SUMIFS('Contract CF'!52:52,'Contract CF'!$3:$3,AK$6)*AK$8</f>
        <v>1.6098520437221333</v>
      </c>
      <c r="AL49" s="46">
        <f>+SUMIFS('Contract CF'!52:52,'Contract CF'!$3:$3,AL$6)*AL$8</f>
        <v>1.7569364359621182</v>
      </c>
      <c r="AM49" s="46">
        <f>+SUMIFS('Contract CF'!52:52,'Contract CF'!$3:$3,AM$6)*AM$8</f>
        <v>2.6273557739283131</v>
      </c>
      <c r="AN49" s="46">
        <f>+SUMIFS('Contract CF'!52:52,'Contract CF'!$3:$3,AN$6)*AN$8</f>
        <v>2.9650863945405397</v>
      </c>
      <c r="AO49" s="46">
        <f>+SUMIFS('Contract CF'!52:52,'Contract CF'!$3:$3,AO$6)*AO$8</f>
        <v>1.6581476050337971</v>
      </c>
      <c r="AP49" s="46">
        <f>+SUMIFS('Contract CF'!52:52,'Contract CF'!$3:$3,AP$6)*AP$8</f>
        <v>1.8096445290409817</v>
      </c>
      <c r="AQ49" s="46">
        <f>+SUMIFS('Contract CF'!52:52,'Contract CF'!$3:$3,AQ$6)*AQ$8</f>
        <v>2.7061764471461625</v>
      </c>
      <c r="AR49" s="46">
        <f>+SUMIFS('Contract CF'!52:52,'Contract CF'!$3:$3,AR$6)*AR$8</f>
        <v>3.0540389863767556</v>
      </c>
      <c r="AS49" s="46">
        <f>+SUMIFS('Contract CF'!52:52,'Contract CF'!$3:$3,AS$6)*AS$8</f>
        <v>1.7078920331848111</v>
      </c>
      <c r="AT49" s="46">
        <f>+SUMIFS('Contract CF'!52:52,'Contract CF'!$3:$3,AT$6)*AT$8</f>
        <v>1.863933864912211</v>
      </c>
      <c r="AU49" s="46">
        <f>+SUMIFS('Contract CF'!52:52,'Contract CF'!$3:$3,AU$6)*AU$8</f>
        <v>2.7873617405605469</v>
      </c>
      <c r="AV49" s="46">
        <f>+SUMIFS('Contract CF'!52:52,'Contract CF'!$3:$3,AV$6)*AV$8</f>
        <v>3.1456601559680579</v>
      </c>
      <c r="AW49" s="46">
        <f>+SUMIFS('Contract CF'!52:52,'Contract CF'!$3:$3,AW$6)*AW$8</f>
        <v>1.7591287941803553</v>
      </c>
      <c r="AX49" s="46">
        <f>+SUMIFS('Contract CF'!52:52,'Contract CF'!$3:$3,AX$6)*AX$8</f>
        <v>1.9198518808595775</v>
      </c>
      <c r="AY49" s="46">
        <f>+SUMIFS('Contract CF'!52:52,'Contract CF'!$3:$3,AY$6)*AY$8</f>
        <v>2.8709825927773633</v>
      </c>
      <c r="AZ49" s="46">
        <f>+SUMIFS('Contract CF'!52:52,'Contract CF'!$3:$3,AZ$6)*AZ$8</f>
        <v>3.2400299606470999</v>
      </c>
      <c r="BA49" s="46">
        <f>+SUMIFS('Contract CF'!52:52,'Contract CF'!$3:$3,BA$6)*BA$8</f>
        <v>1.811902658005766</v>
      </c>
      <c r="BB49" s="8" t="s">
        <v>75</v>
      </c>
    </row>
    <row r="50" spans="2:54" x14ac:dyDescent="0.2">
      <c r="B50" s="19" t="s">
        <v>519</v>
      </c>
      <c r="C50" s="45" t="s">
        <v>187</v>
      </c>
      <c r="E50" s="11"/>
      <c r="F50" s="11"/>
      <c r="G50" s="11"/>
      <c r="H50" s="11">
        <f t="shared" ref="H50:K51" ca="1" si="91">+SUMIFS(50:50,$6:$6,H$3)</f>
        <v>38.481756742397252</v>
      </c>
      <c r="I50" s="11">
        <f t="shared" si="91"/>
        <v>13.171806497379102</v>
      </c>
      <c r="J50" s="11">
        <f t="shared" si="91"/>
        <v>13.566960692300476</v>
      </c>
      <c r="K50" s="11">
        <f t="shared" si="91"/>
        <v>13.973969513069489</v>
      </c>
      <c r="L50" s="11">
        <f t="shared" si="70"/>
        <v>14.393188598461576</v>
      </c>
      <c r="M50" s="11">
        <f t="shared" si="70"/>
        <v>14.824984256415421</v>
      </c>
      <c r="N50" s="11">
        <f t="shared" si="70"/>
        <v>15.269733784107883</v>
      </c>
      <c r="R50" s="25"/>
      <c r="S50" s="25"/>
      <c r="T50" s="25"/>
      <c r="U50" s="25"/>
      <c r="V50" s="46">
        <f ca="1">+SUMIFS('Contract CF'!53:53,'Contract CF'!$3:$3,V$6)*V$8</f>
        <v>9.8529930466609006</v>
      </c>
      <c r="W50" s="46">
        <f ca="1">+SUMIFS('Contract CF'!53:53,'Contract CF'!$3:$3,W$6)*W$8</f>
        <v>13.465999550339237</v>
      </c>
      <c r="X50" s="46">
        <f ca="1">+SUMIFS('Contract CF'!53:53,'Contract CF'!$3:$3,X$6)*X$8</f>
        <v>17.596739377987145</v>
      </c>
      <c r="Y50" s="46">
        <f ca="1">+SUMIFS('Contract CF'!53:53,'Contract CF'!$3:$3,Y$6)*Y$8</f>
        <v>9.8084911792826865</v>
      </c>
      <c r="Z50" s="46">
        <f ca="1">+SUMIFS('Contract CF'!53:53,'Contract CF'!$3:$3,Z$6)*Z$8</f>
        <v>7.5369517864701567</v>
      </c>
      <c r="AA50" s="46">
        <f ca="1">+SUMIFS('Contract CF'!53:53,'Contract CF'!$3:$3,AA$6)*AA$8</f>
        <v>12.233129848745104</v>
      </c>
      <c r="AB50" s="46">
        <f ca="1">+SUMIFS('Contract CF'!53:53,'Contract CF'!$3:$3,AB$6)*AB$8</f>
        <v>11.985049104464229</v>
      </c>
      <c r="AC50" s="46">
        <f ca="1">+SUMIFS('Contract CF'!53:53,'Contract CF'!$3:$3,AC$6)*AC$8</f>
        <v>6.7266260027177616</v>
      </c>
      <c r="AD50" s="46">
        <f>+SUMIFS('Contract CF'!53:53,'Contract CF'!$3:$3,AD$6)*AD$8</f>
        <v>2.5691878352095325</v>
      </c>
      <c r="AE50" s="46">
        <f>+SUMIFS('Contract CF'!53:53,'Contract CF'!$3:$3,AE$6)*AE$8</f>
        <v>3.8420117853880575</v>
      </c>
      <c r="AF50" s="46">
        <f>+SUMIFS('Contract CF'!53:53,'Contract CF'!$3:$3,AF$6)*AF$8</f>
        <v>4.3358790558790012</v>
      </c>
      <c r="AG50" s="46">
        <f>+SUMIFS('Contract CF'!53:53,'Contract CF'!$3:$3,AG$6)*AG$8</f>
        <v>2.424727820902512</v>
      </c>
      <c r="AH50" s="46">
        <f>+SUMIFS('Contract CF'!53:53,'Contract CF'!$3:$3,AH$6)*AH$8</f>
        <v>2.6462634702658185</v>
      </c>
      <c r="AI50" s="46">
        <f>+SUMIFS('Contract CF'!53:53,'Contract CF'!$3:$3,AI$6)*AI$8</f>
        <v>3.9572721389496994</v>
      </c>
      <c r="AJ50" s="46">
        <f>+SUMIFS('Contract CF'!53:53,'Contract CF'!$3:$3,AJ$6)*AJ$8</f>
        <v>4.4659554275553717</v>
      </c>
      <c r="AK50" s="46">
        <f>+SUMIFS('Contract CF'!53:53,'Contract CF'!$3:$3,AK$6)*AK$8</f>
        <v>2.4974696555295872</v>
      </c>
      <c r="AL50" s="46">
        <f>+SUMIFS('Contract CF'!53:53,'Contract CF'!$3:$3,AL$6)*AL$8</f>
        <v>2.7256513743737929</v>
      </c>
      <c r="AM50" s="46">
        <f>+SUMIFS('Contract CF'!53:53,'Contract CF'!$3:$3,AM$6)*AM$8</f>
        <v>4.0759903031181901</v>
      </c>
      <c r="AN50" s="46">
        <f>+SUMIFS('Contract CF'!53:53,'Contract CF'!$3:$3,AN$6)*AN$8</f>
        <v>4.5999340903820318</v>
      </c>
      <c r="AO50" s="46">
        <f>+SUMIFS('Contract CF'!53:53,'Contract CF'!$3:$3,AO$6)*AO$8</f>
        <v>2.5723937451954746</v>
      </c>
      <c r="AP50" s="46">
        <f>+SUMIFS('Contract CF'!53:53,'Contract CF'!$3:$3,AP$6)*AP$8</f>
        <v>2.807420915605007</v>
      </c>
      <c r="AQ50" s="46">
        <f>+SUMIFS('Contract CF'!53:53,'Contract CF'!$3:$3,AQ$6)*AQ$8</f>
        <v>4.1982700122117365</v>
      </c>
      <c r="AR50" s="46">
        <f>+SUMIFS('Contract CF'!53:53,'Contract CF'!$3:$3,AR$6)*AR$8</f>
        <v>4.7379321130934935</v>
      </c>
      <c r="AS50" s="46">
        <f>+SUMIFS('Contract CF'!53:53,'Contract CF'!$3:$3,AS$6)*AS$8</f>
        <v>2.6495655575513393</v>
      </c>
      <c r="AT50" s="46">
        <f>+SUMIFS('Contract CF'!53:53,'Contract CF'!$3:$3,AT$6)*AT$8</f>
        <v>2.8916435430731569</v>
      </c>
      <c r="AU50" s="46">
        <f>+SUMIFS('Contract CF'!53:53,'Contract CF'!$3:$3,AU$6)*AU$8</f>
        <v>4.3242181125780874</v>
      </c>
      <c r="AV50" s="46">
        <f>+SUMIFS('Contract CF'!53:53,'Contract CF'!$3:$3,AV$6)*AV$8</f>
        <v>4.8800700764862981</v>
      </c>
      <c r="AW50" s="46">
        <f>+SUMIFS('Contract CF'!53:53,'Contract CF'!$3:$3,AW$6)*AW$8</f>
        <v>2.7290525242778791</v>
      </c>
      <c r="AX50" s="46">
        <f>+SUMIFS('Contract CF'!53:53,'Contract CF'!$3:$3,AX$6)*AX$8</f>
        <v>2.9783928493653513</v>
      </c>
      <c r="AY50" s="46">
        <f>+SUMIFS('Contract CF'!53:53,'Contract CF'!$3:$3,AY$6)*AY$8</f>
        <v>4.4539446559554303</v>
      </c>
      <c r="AZ50" s="46">
        <f>+SUMIFS('Contract CF'!53:53,'Contract CF'!$3:$3,AZ$6)*AZ$8</f>
        <v>5.026472178780887</v>
      </c>
      <c r="BA50" s="46">
        <f>+SUMIFS('Contract CF'!53:53,'Contract CF'!$3:$3,BA$6)*BA$8</f>
        <v>2.8109241000062153</v>
      </c>
      <c r="BB50" s="8" t="s">
        <v>75</v>
      </c>
    </row>
    <row r="51" spans="2:54" x14ac:dyDescent="0.2">
      <c r="B51" s="19" t="s">
        <v>504</v>
      </c>
      <c r="C51" s="45" t="s">
        <v>187</v>
      </c>
      <c r="E51" s="11"/>
      <c r="F51" s="11"/>
      <c r="G51" s="11"/>
      <c r="H51" s="11">
        <f t="shared" ca="1" si="91"/>
        <v>73.525035831369422</v>
      </c>
      <c r="I51" s="11">
        <f t="shared" si="91"/>
        <v>25.166666666666643</v>
      </c>
      <c r="J51" s="11">
        <f t="shared" si="91"/>
        <v>0</v>
      </c>
      <c r="K51" s="11">
        <f t="shared" si="91"/>
        <v>0</v>
      </c>
      <c r="L51" s="11">
        <f t="shared" si="70"/>
        <v>0</v>
      </c>
      <c r="M51" s="11">
        <f t="shared" si="70"/>
        <v>0</v>
      </c>
      <c r="N51" s="11">
        <f t="shared" si="70"/>
        <v>0</v>
      </c>
      <c r="P51" s="97"/>
      <c r="R51" s="25"/>
      <c r="S51" s="25"/>
      <c r="T51" s="25"/>
      <c r="U51" s="25"/>
      <c r="V51" s="46">
        <f ca="1">+SUMIFS('Contract CF'!54:54,'Contract CF'!$3:$3,V$6)*V$8</f>
        <v>18.825587190613451</v>
      </c>
      <c r="W51" s="46">
        <f ca="1">+SUMIFS('Contract CF'!54:54,'Contract CF'!$3:$3,W$6)*W$8</f>
        <v>25.728765608901323</v>
      </c>
      <c r="X51" s="46">
        <f ca="1">+SUMIFS('Contract CF'!54:54,'Contract CF'!$3:$3,X$6)*X$8</f>
        <v>33.621149417441487</v>
      </c>
      <c r="Y51" s="46">
        <f ca="1">+SUMIFS('Contract CF'!54:54,'Contract CF'!$3:$3,Y$6)*Y$8</f>
        <v>18.74055985115363</v>
      </c>
      <c r="Z51" s="46">
        <f ca="1">+SUMIFS('Contract CF'!54:54,'Contract CF'!$3:$3,Z$6)*Z$8</f>
        <v>14.400450942744579</v>
      </c>
      <c r="AA51" s="46">
        <f ca="1">+SUMIFS('Contract CF'!54:54,'Contract CF'!$3:$3,AA$6)*AA$8</f>
        <v>23.373187364593978</v>
      </c>
      <c r="AB51" s="46">
        <f ca="1">+SUMIFS('Contract CF'!54:54,'Contract CF'!$3:$3,AB$6)*AB$8</f>
        <v>22.899192745938016</v>
      </c>
      <c r="AC51" s="46">
        <f ca="1">+SUMIFS('Contract CF'!54:54,'Contract CF'!$3:$3,AC$6)*AC$8</f>
        <v>12.852204778092849</v>
      </c>
      <c r="AD51" s="46">
        <f>+SUMIFS('Contract CF'!54:54,'Contract CF'!$3:$3,AD$6)*AD$8</f>
        <v>4.9088098785567995</v>
      </c>
      <c r="AE51" s="46">
        <f>+SUMIFS('Contract CF'!54:54,'Contract CF'!$3:$3,AE$6)*AE$8</f>
        <v>7.3407265701561366</v>
      </c>
      <c r="AF51" s="46">
        <f>+SUMIFS('Contract CF'!54:54,'Contract CF'!$3:$3,AF$6)*AF$8</f>
        <v>8.2843323676217437</v>
      </c>
      <c r="AG51" s="46">
        <f>+SUMIFS('Contract CF'!54:54,'Contract CF'!$3:$3,AG$6)*AG$8</f>
        <v>4.6327978503319631</v>
      </c>
      <c r="AH51" s="46">
        <f>+SUMIFS('Contract CF'!54:54,'Contract CF'!$3:$3,AH$6)*AH$8</f>
        <v>0</v>
      </c>
      <c r="AI51" s="46">
        <f>+SUMIFS('Contract CF'!54:54,'Contract CF'!$3:$3,AI$6)*AI$8</f>
        <v>0</v>
      </c>
      <c r="AJ51" s="46">
        <f>+SUMIFS('Contract CF'!54:54,'Contract CF'!$3:$3,AJ$6)*AJ$8</f>
        <v>0</v>
      </c>
      <c r="AK51" s="46">
        <f>+SUMIFS('Contract CF'!54:54,'Contract CF'!$3:$3,AK$6)*AK$8</f>
        <v>0</v>
      </c>
      <c r="AL51" s="46">
        <f>+SUMIFS('Contract CF'!54:54,'Contract CF'!$3:$3,AL$6)*AL$8</f>
        <v>0</v>
      </c>
      <c r="AM51" s="46">
        <f>+SUMIFS('Contract CF'!54:54,'Contract CF'!$3:$3,AM$6)*AM$8</f>
        <v>0</v>
      </c>
      <c r="AN51" s="46">
        <f>+SUMIFS('Contract CF'!54:54,'Contract CF'!$3:$3,AN$6)*AN$8</f>
        <v>0</v>
      </c>
      <c r="AO51" s="46">
        <f>+SUMIFS('Contract CF'!54:54,'Contract CF'!$3:$3,AO$6)*AO$8</f>
        <v>0</v>
      </c>
      <c r="AP51" s="46">
        <f>+SUMIFS('Contract CF'!54:54,'Contract CF'!$3:$3,AP$6)*AP$8</f>
        <v>0</v>
      </c>
      <c r="AQ51" s="46">
        <f>+SUMIFS('Contract CF'!54:54,'Contract CF'!$3:$3,AQ$6)*AQ$8</f>
        <v>0</v>
      </c>
      <c r="AR51" s="46">
        <f>+SUMIFS('Contract CF'!54:54,'Contract CF'!$3:$3,AR$6)*AR$8</f>
        <v>0</v>
      </c>
      <c r="AS51" s="46">
        <f>+SUMIFS('Contract CF'!54:54,'Contract CF'!$3:$3,AS$6)*AS$8</f>
        <v>0</v>
      </c>
      <c r="AT51" s="46">
        <f>+SUMIFS('Contract CF'!54:54,'Contract CF'!$3:$3,AT$6)*AT$8</f>
        <v>0</v>
      </c>
      <c r="AU51" s="46">
        <f>+SUMIFS('Contract CF'!54:54,'Contract CF'!$3:$3,AU$6)*AU$8</f>
        <v>0</v>
      </c>
      <c r="AV51" s="46">
        <f>+SUMIFS('Contract CF'!54:54,'Contract CF'!$3:$3,AV$6)*AV$8</f>
        <v>0</v>
      </c>
      <c r="AW51" s="46">
        <f>+SUMIFS('Contract CF'!54:54,'Contract CF'!$3:$3,AW$6)*AW$8</f>
        <v>0</v>
      </c>
      <c r="AX51" s="46">
        <f>+SUMIFS('Contract CF'!54:54,'Contract CF'!$3:$3,AX$6)*AX$8</f>
        <v>0</v>
      </c>
      <c r="AY51" s="46">
        <f>+SUMIFS('Contract CF'!54:54,'Contract CF'!$3:$3,AY$6)*AY$8</f>
        <v>0</v>
      </c>
      <c r="AZ51" s="46">
        <f>+SUMIFS('Contract CF'!54:54,'Contract CF'!$3:$3,AZ$6)*AZ$8</f>
        <v>0</v>
      </c>
      <c r="BA51" s="46">
        <f>+SUMIFS('Contract CF'!54:54,'Contract CF'!$3:$3,BA$6)*BA$8</f>
        <v>0</v>
      </c>
      <c r="BB51" s="8" t="s">
        <v>75</v>
      </c>
    </row>
    <row r="52" spans="2:54" x14ac:dyDescent="0.2">
      <c r="B52" s="26"/>
      <c r="C52" s="45"/>
      <c r="D52" s="86"/>
      <c r="E52" s="11"/>
      <c r="F52" s="11"/>
      <c r="G52" s="30"/>
      <c r="H52" s="13"/>
      <c r="I52" s="13"/>
      <c r="J52" s="30"/>
      <c r="K52" s="30"/>
      <c r="L52" s="30"/>
      <c r="M52" s="30"/>
      <c r="N52" s="30"/>
      <c r="R52" s="25"/>
      <c r="S52" s="25"/>
      <c r="T52" s="25"/>
      <c r="U52" s="25"/>
      <c r="V52" s="30"/>
      <c r="W52" s="30"/>
      <c r="X52" s="30"/>
      <c r="Y52" s="30"/>
      <c r="Z52" s="30"/>
      <c r="AA52" s="30"/>
      <c r="AB52" s="30"/>
      <c r="AC52" s="30"/>
      <c r="AD52" s="111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8" t="s">
        <v>75</v>
      </c>
    </row>
    <row r="53" spans="2:54" s="2" customFormat="1" x14ac:dyDescent="0.2">
      <c r="B53" s="2" t="s">
        <v>230</v>
      </c>
      <c r="C53" s="45" t="s">
        <v>201</v>
      </c>
      <c r="E53" s="13"/>
      <c r="F53" s="13"/>
      <c r="G53" s="13"/>
      <c r="H53" s="13">
        <f ca="1">+SUMIFS(53:53,$6:$6,H$3)</f>
        <v>1464.2422968713777</v>
      </c>
      <c r="I53" s="13">
        <f ca="1">+SUMIFS(53:53,$6:$6,I$3)</f>
        <v>435.58925118080919</v>
      </c>
      <c r="J53" s="13">
        <f ca="1">+SUMIFS(53:53,$6:$6,J$3)</f>
        <v>199.558688763487</v>
      </c>
      <c r="K53" s="13">
        <f ca="1">+SUMIFS(53:53,$6:$6,K$3)</f>
        <v>197.63985521768421</v>
      </c>
      <c r="L53" s="13">
        <f t="shared" ref="L53:N56" ca="1" si="92">+SUMIFS(53:53,$6:$6,L$3)</f>
        <v>195.73947199443717</v>
      </c>
      <c r="M53" s="13">
        <f t="shared" ca="1" si="92"/>
        <v>193.85736168679836</v>
      </c>
      <c r="N53" s="13">
        <f t="shared" ca="1" si="92"/>
        <v>191.99334859365604</v>
      </c>
      <c r="P53" s="131"/>
      <c r="R53" s="32"/>
      <c r="S53" s="32"/>
      <c r="T53" s="32"/>
      <c r="U53" s="32"/>
      <c r="V53" s="24">
        <f ca="1">+V56+V55+V54</f>
        <v>400.6288826469841</v>
      </c>
      <c r="W53" s="24">
        <f t="shared" ref="W53:AC53" ca="1" si="93">+W56+W55+W54</f>
        <v>439.1665047538317</v>
      </c>
      <c r="X53" s="24">
        <f t="shared" ca="1" si="93"/>
        <v>674.39743986109136</v>
      </c>
      <c r="Y53" s="24">
        <f t="shared" ca="1" si="93"/>
        <v>319.12256036310555</v>
      </c>
      <c r="Z53" s="24">
        <f t="shared" ca="1" si="93"/>
        <v>326.85670846045969</v>
      </c>
      <c r="AA53" s="24">
        <f t="shared" ca="1" si="93"/>
        <v>454.31110650529422</v>
      </c>
      <c r="AB53" s="24">
        <f t="shared" ca="1" si="93"/>
        <v>458.69026446833311</v>
      </c>
      <c r="AC53" s="24">
        <f t="shared" ca="1" si="93"/>
        <v>224.38421743729083</v>
      </c>
      <c r="AD53" s="114">
        <f ca="1">+AD58*(AD$13+AD$14)</f>
        <v>96.885700239984985</v>
      </c>
      <c r="AE53" s="24">
        <f t="shared" ref="AE53:BA53" ca="1" si="94">+AE58*(AE$13+AE$14)</f>
        <v>124.07281075938103</v>
      </c>
      <c r="AF53" s="24">
        <f t="shared" ca="1" si="94"/>
        <v>144.29757213477939</v>
      </c>
      <c r="AG53" s="24">
        <f t="shared" ca="1" si="94"/>
        <v>70.333168046663801</v>
      </c>
      <c r="AH53" s="24">
        <f t="shared" ca="1" si="94"/>
        <v>44.386731875066694</v>
      </c>
      <c r="AI53" s="24">
        <f t="shared" ca="1" si="94"/>
        <v>56.842099200617682</v>
      </c>
      <c r="AJ53" s="24">
        <f t="shared" ca="1" si="94"/>
        <v>66.107770586419647</v>
      </c>
      <c r="AK53" s="24">
        <f t="shared" ca="1" si="94"/>
        <v>32.22208710138294</v>
      </c>
      <c r="AL53" s="24">
        <f t="shared" ca="1" si="94"/>
        <v>43.959936376267969</v>
      </c>
      <c r="AM53" s="24">
        <f t="shared" ca="1" si="94"/>
        <v>56.295540554457901</v>
      </c>
      <c r="AN53" s="24">
        <f t="shared" ca="1" si="94"/>
        <v>65.472118946165594</v>
      </c>
      <c r="AO53" s="24">
        <f t="shared" ca="1" si="94"/>
        <v>31.912259340792719</v>
      </c>
      <c r="AP53" s="24">
        <f t="shared" ca="1" si="94"/>
        <v>43.537244680342305</v>
      </c>
      <c r="AQ53" s="24">
        <f t="shared" ca="1" si="94"/>
        <v>55.754237279895797</v>
      </c>
      <c r="AR53" s="24">
        <f t="shared" ca="1" si="94"/>
        <v>64.842579340914</v>
      </c>
      <c r="AS53" s="24">
        <f t="shared" ca="1" si="94"/>
        <v>31.605410693285087</v>
      </c>
      <c r="AT53" s="24">
        <f t="shared" ca="1" si="94"/>
        <v>43.11861732764671</v>
      </c>
      <c r="AU53" s="24">
        <f t="shared" ca="1" si="94"/>
        <v>55.218138844512175</v>
      </c>
      <c r="AV53" s="24">
        <f t="shared" ca="1" si="94"/>
        <v>64.219093001097505</v>
      </c>
      <c r="AW53" s="24">
        <f t="shared" ca="1" si="94"/>
        <v>31.301512513541969</v>
      </c>
      <c r="AX53" s="24">
        <f t="shared" ca="1" si="94"/>
        <v>42.704015237957783</v>
      </c>
      <c r="AY53" s="24">
        <f t="shared" ca="1" si="94"/>
        <v>54.687195201776476</v>
      </c>
      <c r="AZ53" s="24">
        <f t="shared" ca="1" si="94"/>
        <v>63.601601722240801</v>
      </c>
      <c r="BA53" s="24">
        <f t="shared" ca="1" si="94"/>
        <v>31.000536431680978</v>
      </c>
      <c r="BB53" s="8" t="s">
        <v>75</v>
      </c>
    </row>
    <row r="54" spans="2:54" x14ac:dyDescent="0.2">
      <c r="B54" s="19" t="s">
        <v>518</v>
      </c>
      <c r="C54" s="45" t="s">
        <v>201</v>
      </c>
      <c r="D54" s="274"/>
      <c r="E54" s="11"/>
      <c r="F54" s="11"/>
      <c r="G54" s="92"/>
      <c r="H54" s="11">
        <f ca="1">+SUMIFS(54:54,$6:$6,H$3)</f>
        <v>265.47876799500079</v>
      </c>
      <c r="I54" s="11">
        <f ca="1">+SUMIFS(54:54,$6:$6,I$3)</f>
        <v>78.975793830318651</v>
      </c>
      <c r="J54" s="11">
        <f ca="1">+SUMIFS(54:54,$6:$6,J$3)</f>
        <v>36.18157660711401</v>
      </c>
      <c r="K54" s="11">
        <f ca="1">+SUMIFS(54:54,$6:$6,K$3)</f>
        <v>35.833676832045597</v>
      </c>
      <c r="L54" s="11">
        <f t="shared" ca="1" si="92"/>
        <v>35.489122247122076</v>
      </c>
      <c r="M54" s="11">
        <f t="shared" ca="1" si="92"/>
        <v>35.1478806870536</v>
      </c>
      <c r="N54" s="11">
        <f t="shared" ca="1" si="92"/>
        <v>34.809920295831922</v>
      </c>
      <c r="P54" s="97"/>
      <c r="R54" s="25"/>
      <c r="S54" s="25"/>
      <c r="T54" s="25"/>
      <c r="U54" s="25"/>
      <c r="V54" s="23">
        <f ca="1">+V49/V$33*(V$13+V$14)</f>
        <v>72.637201107760291</v>
      </c>
      <c r="W54" s="23">
        <f t="shared" ref="W54:AC54" ca="1" si="95">+W49/W$33*(W$13+W$14)</f>
        <v>79.624378339454154</v>
      </c>
      <c r="X54" s="23">
        <f t="shared" ca="1" si="95"/>
        <v>122.27361677493754</v>
      </c>
      <c r="Y54" s="23">
        <f t="shared" ca="1" si="95"/>
        <v>57.859456966670024</v>
      </c>
      <c r="Z54" s="23">
        <f t="shared" ca="1" si="95"/>
        <v>59.261719497102021</v>
      </c>
      <c r="AA54" s="23">
        <f t="shared" ca="1" si="95"/>
        <v>82.370215024642022</v>
      </c>
      <c r="AB54" s="23">
        <f t="shared" ca="1" si="95"/>
        <v>83.164191174195338</v>
      </c>
      <c r="AC54" s="23">
        <f t="shared" ca="1" si="95"/>
        <v>40.682642299061413</v>
      </c>
      <c r="AD54" s="106">
        <f ca="1">+Z54/Z$53*AD$53</f>
        <v>17.56614761846588</v>
      </c>
      <c r="AE54" s="23">
        <f ca="1">+AA54/AA$53*AE$53</f>
        <v>22.49538687173354</v>
      </c>
      <c r="AF54" s="23">
        <f t="shared" ref="AF54:BA56" ca="1" si="96">+AB54/AB$53*AF$53</f>
        <v>26.162296880006078</v>
      </c>
      <c r="AG54" s="23">
        <f t="shared" ca="1" si="96"/>
        <v>12.751962460113152</v>
      </c>
      <c r="AH54" s="23">
        <f t="shared" ca="1" si="96"/>
        <v>8.0476673284846694</v>
      </c>
      <c r="AI54" s="23">
        <f t="shared" ca="1" si="96"/>
        <v>10.305924434960625</v>
      </c>
      <c r="AJ54" s="23">
        <f t="shared" ca="1" si="96"/>
        <v>11.985864311991314</v>
      </c>
      <c r="AK54" s="23">
        <f t="shared" ca="1" si="96"/>
        <v>5.8421205316773994</v>
      </c>
      <c r="AL54" s="23">
        <f t="shared" ca="1" si="96"/>
        <v>7.9702859118646234</v>
      </c>
      <c r="AM54" s="23">
        <f t="shared" ca="1" si="96"/>
        <v>10.206829007701389</v>
      </c>
      <c r="AN54" s="23">
        <f t="shared" ca="1" si="96"/>
        <v>11.8706156166837</v>
      </c>
      <c r="AO54" s="23">
        <f t="shared" ca="1" si="96"/>
        <v>5.7859462957958865</v>
      </c>
      <c r="AP54" s="23">
        <f t="shared" ca="1" si="96"/>
        <v>7.8936485473274622</v>
      </c>
      <c r="AQ54" s="23">
        <f t="shared" ca="1" si="96"/>
        <v>10.108686421088874</v>
      </c>
      <c r="AR54" s="23">
        <f t="shared" ca="1" si="96"/>
        <v>11.756475081907896</v>
      </c>
      <c r="AS54" s="23">
        <f t="shared" ca="1" si="96"/>
        <v>5.730312196797847</v>
      </c>
      <c r="AT54" s="23">
        <f t="shared" ca="1" si="96"/>
        <v>7.8177480805262372</v>
      </c>
      <c r="AU54" s="23">
        <f t="shared" ca="1" si="96"/>
        <v>10.011487513193787</v>
      </c>
      <c r="AV54" s="23">
        <f t="shared" ca="1" si="96"/>
        <v>11.643432052274164</v>
      </c>
      <c r="AW54" s="23">
        <f t="shared" ca="1" si="96"/>
        <v>5.6752130410594077</v>
      </c>
      <c r="AX54" s="23">
        <f t="shared" ca="1" si="96"/>
        <v>7.7425774259057896</v>
      </c>
      <c r="AY54" s="23">
        <f t="shared" ca="1" si="96"/>
        <v>9.9152232101823081</v>
      </c>
      <c r="AZ54" s="23">
        <f t="shared" ca="1" si="96"/>
        <v>11.531475974848451</v>
      </c>
      <c r="BA54" s="23">
        <f t="shared" ca="1" si="96"/>
        <v>5.6206436848953727</v>
      </c>
      <c r="BB54" s="8" t="s">
        <v>75</v>
      </c>
    </row>
    <row r="55" spans="2:54" x14ac:dyDescent="0.2">
      <c r="B55" s="19" t="s">
        <v>519</v>
      </c>
      <c r="C55" s="45" t="s">
        <v>201</v>
      </c>
      <c r="D55" s="274"/>
      <c r="E55" s="11"/>
      <c r="F55" s="11"/>
      <c r="G55" s="92"/>
      <c r="H55" s="11">
        <f ca="1">+SUMIFS(55:55,$6:$6,H$3)</f>
        <v>411.85472282404021</v>
      </c>
      <c r="I55" s="11">
        <f ca="1">+SUMIFS(55:55,$6:$6,I$3)</f>
        <v>122.52035793087202</v>
      </c>
      <c r="J55" s="11">
        <f ca="1">+SUMIFS(55:55,$6:$6,J$3)</f>
        <v>56.130866198461213</v>
      </c>
      <c r="K55" s="11">
        <f ca="1">+SUMIFS(55:55,$6:$6,K$3)</f>
        <v>55.591146331168318</v>
      </c>
      <c r="L55" s="11">
        <f t="shared" ca="1" si="92"/>
        <v>55.056616077983989</v>
      </c>
      <c r="M55" s="11">
        <f t="shared" ca="1" si="92"/>
        <v>54.527225538772598</v>
      </c>
      <c r="N55" s="11">
        <f t="shared" ca="1" si="92"/>
        <v>54.002925293207483</v>
      </c>
      <c r="P55" s="97"/>
      <c r="R55" s="25"/>
      <c r="S55" s="25"/>
      <c r="T55" s="25"/>
      <c r="U55" s="25"/>
      <c r="V55" s="23">
        <f t="shared" ref="V55:AC56" ca="1" si="97">+V50/V$33*(V$13+V$14)</f>
        <v>112.68688096938141</v>
      </c>
      <c r="W55" s="23">
        <f t="shared" ca="1" si="97"/>
        <v>123.52654985821663</v>
      </c>
      <c r="X55" s="23">
        <f t="shared" ca="1" si="97"/>
        <v>189.69112643495134</v>
      </c>
      <c r="Y55" s="23">
        <f t="shared" ca="1" si="97"/>
        <v>89.761191795971044</v>
      </c>
      <c r="Z55" s="23">
        <f t="shared" ca="1" si="97"/>
        <v>91.936614147669189</v>
      </c>
      <c r="AA55" s="23">
        <f t="shared" ca="1" si="97"/>
        <v>127.78634741355046</v>
      </c>
      <c r="AB55" s="23">
        <f t="shared" ca="1" si="97"/>
        <v>129.01809498218969</v>
      </c>
      <c r="AC55" s="23">
        <f t="shared" ca="1" si="97"/>
        <v>63.113666280630895</v>
      </c>
      <c r="AD55" s="106">
        <f t="shared" ref="AD55:AE56" ca="1" si="98">+Z55/Z$53*AD$53</f>
        <v>27.251523401018929</v>
      </c>
      <c r="AE55" s="23">
        <f t="shared" ca="1" si="98"/>
        <v>34.898577369666846</v>
      </c>
      <c r="AF55" s="23">
        <f t="shared" ca="1" si="96"/>
        <v>40.587296721815662</v>
      </c>
      <c r="AG55" s="23">
        <f t="shared" ca="1" si="96"/>
        <v>19.782960438370601</v>
      </c>
      <c r="AH55" s="23">
        <f t="shared" ca="1" si="96"/>
        <v>12.484877122134121</v>
      </c>
      <c r="AI55" s="23">
        <f t="shared" ca="1" si="96"/>
        <v>15.988260318000799</v>
      </c>
      <c r="AJ55" s="23">
        <f t="shared" ca="1" si="96"/>
        <v>18.594461852085647</v>
      </c>
      <c r="AK55" s="23">
        <f t="shared" ca="1" si="96"/>
        <v>9.063266906240651</v>
      </c>
      <c r="AL55" s="23">
        <f t="shared" ca="1" si="96"/>
        <v>12.364830226728984</v>
      </c>
      <c r="AM55" s="23">
        <f t="shared" ca="1" si="96"/>
        <v>15.834527045712331</v>
      </c>
      <c r="AN55" s="23">
        <f t="shared" ca="1" si="96"/>
        <v>18.41566894966174</v>
      </c>
      <c r="AO55" s="23">
        <f t="shared" ca="1" si="96"/>
        <v>8.9761201090652598</v>
      </c>
      <c r="AP55" s="23">
        <f t="shared" ca="1" si="96"/>
        <v>12.245937628395048</v>
      </c>
      <c r="AQ55" s="23">
        <f t="shared" ca="1" si="96"/>
        <v>15.682271977965096</v>
      </c>
      <c r="AR55" s="23">
        <f t="shared" ca="1" si="96"/>
        <v>18.238595209761147</v>
      </c>
      <c r="AS55" s="23">
        <f t="shared" ca="1" si="96"/>
        <v>8.8898112618627056</v>
      </c>
      <c r="AT55" s="23">
        <f t="shared" ca="1" si="96"/>
        <v>12.128188228122019</v>
      </c>
      <c r="AU55" s="23">
        <f t="shared" ca="1" si="96"/>
        <v>15.531480901253889</v>
      </c>
      <c r="AV55" s="23">
        <f t="shared" ca="1" si="96"/>
        <v>18.063224101974978</v>
      </c>
      <c r="AW55" s="23">
        <f t="shared" ca="1" si="96"/>
        <v>8.8043323074217206</v>
      </c>
      <c r="AX55" s="23">
        <f t="shared" ca="1" si="96"/>
        <v>12.011571033620841</v>
      </c>
      <c r="AY55" s="23">
        <f t="shared" ca="1" si="96"/>
        <v>15.382139738741831</v>
      </c>
      <c r="AZ55" s="23">
        <f t="shared" ca="1" si="96"/>
        <v>17.889539254840603</v>
      </c>
      <c r="BA55" s="23">
        <f t="shared" ca="1" si="96"/>
        <v>8.7196752660042005</v>
      </c>
      <c r="BB55" s="8" t="s">
        <v>75</v>
      </c>
    </row>
    <row r="56" spans="2:54" x14ac:dyDescent="0.2">
      <c r="B56" s="19" t="s">
        <v>504</v>
      </c>
      <c r="C56" s="45" t="s">
        <v>201</v>
      </c>
      <c r="D56" s="274"/>
      <c r="E56" s="11"/>
      <c r="F56" s="11"/>
      <c r="G56" s="92"/>
      <c r="H56" s="11">
        <f ca="1">+SUMIFS(56:56,$6:$6,H$3)</f>
        <v>786.90880605233679</v>
      </c>
      <c r="I56" s="11">
        <f ca="1">+SUMIFS(56:56,$6:$6,I$3)</f>
        <v>234.09309941961851</v>
      </c>
      <c r="J56" s="11">
        <f ca="1">+SUMIFS(56:56,$6:$6,J$3)</f>
        <v>107.24624595791173</v>
      </c>
      <c r="K56" s="11">
        <f ca="1">+SUMIFS(56:56,$6:$6,K$3)</f>
        <v>106.21503205447027</v>
      </c>
      <c r="L56" s="11">
        <f t="shared" ca="1" si="92"/>
        <v>105.19373366933111</v>
      </c>
      <c r="M56" s="11">
        <f t="shared" ca="1" si="92"/>
        <v>104.18225546097214</v>
      </c>
      <c r="N56" s="11">
        <f t="shared" ca="1" si="92"/>
        <v>103.18050300461664</v>
      </c>
      <c r="P56" s="97"/>
      <c r="R56" s="25"/>
      <c r="S56" s="25"/>
      <c r="T56" s="25"/>
      <c r="U56" s="25"/>
      <c r="V56" s="23">
        <f t="shared" ca="1" si="97"/>
        <v>215.3048005698424</v>
      </c>
      <c r="W56" s="23">
        <f t="shared" ca="1" si="97"/>
        <v>236.01557655616094</v>
      </c>
      <c r="X56" s="23">
        <f t="shared" ca="1" si="97"/>
        <v>362.43269665120243</v>
      </c>
      <c r="Y56" s="23">
        <f t="shared" ca="1" si="97"/>
        <v>171.50191160046452</v>
      </c>
      <c r="Z56" s="23">
        <f t="shared" ca="1" si="97"/>
        <v>175.65837481568843</v>
      </c>
      <c r="AA56" s="23">
        <f t="shared" ca="1" si="97"/>
        <v>244.15454406710174</v>
      </c>
      <c r="AB56" s="23">
        <f t="shared" ca="1" si="97"/>
        <v>246.50797831194802</v>
      </c>
      <c r="AC56" s="23">
        <f t="shared" ca="1" si="97"/>
        <v>120.58790885759855</v>
      </c>
      <c r="AD56" s="106">
        <f t="shared" ca="1" si="98"/>
        <v>52.068029220500165</v>
      </c>
      <c r="AE56" s="23">
        <f t="shared" ca="1" si="98"/>
        <v>66.678846517980645</v>
      </c>
      <c r="AF56" s="23">
        <f t="shared" ca="1" si="96"/>
        <v>77.547978532957629</v>
      </c>
      <c r="AG56" s="23">
        <f t="shared" ca="1" si="96"/>
        <v>37.798245148180058</v>
      </c>
      <c r="AH56" s="23">
        <f t="shared" ca="1" si="96"/>
        <v>23.854187424447897</v>
      </c>
      <c r="AI56" s="23">
        <f t="shared" ca="1" si="96"/>
        <v>30.547914447656261</v>
      </c>
      <c r="AJ56" s="23">
        <f t="shared" ca="1" si="96"/>
        <v>35.527444422342676</v>
      </c>
      <c r="AK56" s="23">
        <f t="shared" ca="1" si="96"/>
        <v>17.316699663464895</v>
      </c>
      <c r="AL56" s="23">
        <f t="shared" ca="1" si="96"/>
        <v>23.624820237674356</v>
      </c>
      <c r="AM56" s="23">
        <f t="shared" ca="1" si="96"/>
        <v>30.254184501044183</v>
      </c>
      <c r="AN56" s="23">
        <f t="shared" ca="1" si="96"/>
        <v>35.185834379820143</v>
      </c>
      <c r="AO56" s="23">
        <f t="shared" ca="1" si="96"/>
        <v>17.150192935931578</v>
      </c>
      <c r="AP56" s="23">
        <f t="shared" ca="1" si="96"/>
        <v>23.397658504619791</v>
      </c>
      <c r="AQ56" s="23">
        <f t="shared" ca="1" si="96"/>
        <v>29.96327888084183</v>
      </c>
      <c r="AR56" s="23">
        <f t="shared" ca="1" si="96"/>
        <v>34.847509049244948</v>
      </c>
      <c r="AS56" s="23">
        <f t="shared" ca="1" si="96"/>
        <v>16.98528723462454</v>
      </c>
      <c r="AT56" s="23">
        <f t="shared" ca="1" si="96"/>
        <v>23.17268101899845</v>
      </c>
      <c r="AU56" s="23">
        <f t="shared" ca="1" si="96"/>
        <v>29.675170430064501</v>
      </c>
      <c r="AV56" s="23">
        <f t="shared" ca="1" si="96"/>
        <v>34.512436846848352</v>
      </c>
      <c r="AW56" s="23">
        <f t="shared" ca="1" si="96"/>
        <v>16.821967165060844</v>
      </c>
      <c r="AX56" s="23">
        <f t="shared" ca="1" si="96"/>
        <v>22.949866778431147</v>
      </c>
      <c r="AY56" s="23">
        <f t="shared" ca="1" si="96"/>
        <v>29.38983225285234</v>
      </c>
      <c r="AZ56" s="23">
        <f t="shared" ca="1" si="96"/>
        <v>34.18058649255174</v>
      </c>
      <c r="BA56" s="23">
        <f t="shared" ca="1" si="96"/>
        <v>16.660217480781409</v>
      </c>
      <c r="BB56" s="8" t="s">
        <v>75</v>
      </c>
    </row>
    <row r="57" spans="2:54" x14ac:dyDescent="0.2">
      <c r="B57" s="19"/>
      <c r="C57" s="45"/>
      <c r="D57" s="19"/>
      <c r="E57" s="11"/>
      <c r="F57" s="11"/>
      <c r="G57" s="92"/>
      <c r="H57" s="92"/>
      <c r="I57" s="92"/>
      <c r="J57" s="92"/>
      <c r="K57" s="92"/>
      <c r="L57" s="92"/>
      <c r="M57" s="92"/>
      <c r="N57" s="92"/>
      <c r="P57" s="97"/>
      <c r="R57" s="25"/>
      <c r="S57" s="25"/>
      <c r="T57" s="25"/>
      <c r="U57" s="25"/>
      <c r="V57" s="92"/>
      <c r="W57" s="92"/>
      <c r="X57" s="92"/>
      <c r="Y57" s="92"/>
      <c r="Z57" s="92"/>
      <c r="AA57" s="92"/>
      <c r="AB57" s="92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113"/>
      <c r="AP57" s="113"/>
      <c r="AQ57" s="113"/>
      <c r="AR57" s="113"/>
      <c r="AS57" s="113"/>
      <c r="AT57" s="113"/>
      <c r="AU57" s="113"/>
      <c r="AV57" s="113"/>
      <c r="AW57" s="113"/>
      <c r="AX57" s="113"/>
      <c r="AY57" s="113"/>
      <c r="AZ57" s="113"/>
      <c r="BA57" s="113"/>
      <c r="BB57" s="8" t="s">
        <v>75</v>
      </c>
    </row>
    <row r="58" spans="2:54" x14ac:dyDescent="0.2">
      <c r="B58" s="26" t="s">
        <v>239</v>
      </c>
      <c r="C58" s="45" t="s">
        <v>177</v>
      </c>
      <c r="D58" s="282">
        <f ca="1">+Ctrl!G33</f>
        <v>0.5</v>
      </c>
      <c r="E58" s="11"/>
      <c r="F58" s="11"/>
      <c r="G58" s="92"/>
      <c r="H58" s="30">
        <f t="shared" ref="H58:N58" ca="1" si="99">+H53/(H13+H14)</f>
        <v>0.27183476090819547</v>
      </c>
      <c r="I58" s="30">
        <f t="shared" ca="1" si="99"/>
        <v>7.3242755073525484E-2</v>
      </c>
      <c r="J58" s="30">
        <f t="shared" ca="1" si="99"/>
        <v>3.0459026555125994E-2</v>
      </c>
      <c r="K58" s="30">
        <f t="shared" ca="1" si="99"/>
        <v>2.7438193877658463E-2</v>
      </c>
      <c r="L58" s="30">
        <f t="shared" ca="1" si="99"/>
        <v>2.4762748202208074E-2</v>
      </c>
      <c r="M58" s="30">
        <f t="shared" ca="1" si="99"/>
        <v>2.2386232644398246E-2</v>
      </c>
      <c r="N58" s="30">
        <f t="shared" ca="1" si="99"/>
        <v>2.0389456196562367E-2</v>
      </c>
      <c r="P58" s="97"/>
      <c r="R58" s="25"/>
      <c r="S58" s="25"/>
      <c r="T58" s="25"/>
      <c r="U58" s="25"/>
      <c r="V58" s="30">
        <f t="shared" ref="V58:AC58" ca="1" si="100">+V53/(V13+V14)</f>
        <v>0.47389648236007198</v>
      </c>
      <c r="W58" s="30">
        <f t="shared" ca="1" si="100"/>
        <v>0.47389648236007198</v>
      </c>
      <c r="X58" s="30">
        <f t="shared" ca="1" si="100"/>
        <v>0.47389648236007198</v>
      </c>
      <c r="Y58" s="30">
        <f t="shared" ca="1" si="100"/>
        <v>0.47389648236007192</v>
      </c>
      <c r="Z58" s="30">
        <f t="shared" ca="1" si="100"/>
        <v>0.27183476090819553</v>
      </c>
      <c r="AA58" s="30">
        <f t="shared" ca="1" si="100"/>
        <v>0.27183476090819558</v>
      </c>
      <c r="AB58" s="30">
        <f t="shared" ca="1" si="100"/>
        <v>0.27183476090819553</v>
      </c>
      <c r="AC58" s="30">
        <f t="shared" ca="1" si="100"/>
        <v>0.27183476090819547</v>
      </c>
      <c r="AD58" s="111">
        <f t="shared" ref="AD58:BA58" ca="1" si="101">+MIN((AD48*1000/AD68)/(AD13+AD14),$D58)</f>
        <v>7.2979812855893444E-2</v>
      </c>
      <c r="AE58" s="30">
        <f t="shared" ca="1" si="101"/>
        <v>6.723938500940195E-2</v>
      </c>
      <c r="AF58" s="30">
        <f t="shared" ca="1" si="101"/>
        <v>7.7453307333428589E-2</v>
      </c>
      <c r="AG58" s="30">
        <f t="shared" ca="1" si="101"/>
        <v>7.717352527110867E-2</v>
      </c>
      <c r="AH58" s="30">
        <f t="shared" ca="1" si="101"/>
        <v>3.0349678347494011E-2</v>
      </c>
      <c r="AI58" s="30">
        <f t="shared" ca="1" si="101"/>
        <v>2.7962440947173029E-2</v>
      </c>
      <c r="AJ58" s="30">
        <f t="shared" ca="1" si="101"/>
        <v>3.221004374402598E-2</v>
      </c>
      <c r="AK58" s="30">
        <f t="shared" ca="1" si="101"/>
        <v>3.2093692450887203E-2</v>
      </c>
      <c r="AL58" s="30">
        <f t="shared" ca="1" si="101"/>
        <v>2.7339690489319678E-2</v>
      </c>
      <c r="AM58" s="30">
        <f t="shared" ca="1" si="101"/>
        <v>2.5189211960287998E-2</v>
      </c>
      <c r="AN58" s="30">
        <f t="shared" ca="1" si="101"/>
        <v>2.9015550561241141E-2</v>
      </c>
      <c r="AO58" s="30">
        <f t="shared" ca="1" si="101"/>
        <v>2.8910738631901241E-2</v>
      </c>
      <c r="AP58" s="30">
        <f t="shared" ca="1" si="101"/>
        <v>2.4673849690397372E-2</v>
      </c>
      <c r="AQ58" s="30">
        <f t="shared" ca="1" si="101"/>
        <v>2.2733060199437962E-2</v>
      </c>
      <c r="AR58" s="30">
        <f t="shared" ca="1" si="101"/>
        <v>2.6186299859973443E-2</v>
      </c>
      <c r="AS58" s="30">
        <f t="shared" ca="1" si="101"/>
        <v>2.6091707940898729E-2</v>
      </c>
      <c r="AT58" s="30">
        <f t="shared" ca="1" si="101"/>
        <v>2.2305865847026464E-2</v>
      </c>
      <c r="AU58" s="30">
        <f t="shared" ca="1" si="101"/>
        <v>2.0551336636308787E-2</v>
      </c>
      <c r="AV58" s="30">
        <f t="shared" ca="1" si="101"/>
        <v>2.367316405975756E-2</v>
      </c>
      <c r="AW58" s="30">
        <f t="shared" ca="1" si="101"/>
        <v>2.3587650259375037E-2</v>
      </c>
      <c r="AX58" s="30">
        <f t="shared" ca="1" si="101"/>
        <v>2.0316257846455882E-2</v>
      </c>
      <c r="AY58" s="30">
        <f t="shared" ca="1" si="101"/>
        <v>1.8718226723676991E-2</v>
      </c>
      <c r="AZ58" s="30">
        <f t="shared" ca="1" si="101"/>
        <v>2.1561597670220065E-2</v>
      </c>
      <c r="BA58" s="30">
        <f t="shared" ca="1" si="101"/>
        <v>2.1483711412411628E-2</v>
      </c>
      <c r="BB58" s="8" t="s">
        <v>75</v>
      </c>
    </row>
    <row r="59" spans="2:54" x14ac:dyDescent="0.2">
      <c r="B59" s="19"/>
      <c r="C59" s="45"/>
      <c r="D59" s="19"/>
      <c r="E59" s="11"/>
      <c r="F59" s="11"/>
      <c r="G59" s="92"/>
      <c r="H59" s="92"/>
      <c r="I59" s="92"/>
      <c r="J59" s="92"/>
      <c r="K59" s="92"/>
      <c r="L59" s="92"/>
      <c r="M59" s="92"/>
      <c r="N59" s="92"/>
      <c r="P59" s="97"/>
      <c r="R59" s="25"/>
      <c r="S59" s="25"/>
      <c r="T59" s="25"/>
      <c r="U59" s="25"/>
      <c r="V59" s="92"/>
      <c r="W59" s="92"/>
      <c r="X59" s="92"/>
      <c r="Y59" s="92"/>
      <c r="Z59" s="92"/>
      <c r="AA59" s="92"/>
      <c r="AB59" s="92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113"/>
      <c r="AP59" s="113"/>
      <c r="AQ59" s="113"/>
      <c r="AR59" s="113"/>
      <c r="AS59" s="113"/>
      <c r="AT59" s="113"/>
      <c r="AU59" s="113"/>
      <c r="AV59" s="113"/>
      <c r="AW59" s="113"/>
      <c r="AX59" s="113"/>
      <c r="AY59" s="113"/>
      <c r="AZ59" s="113"/>
      <c r="BA59" s="113"/>
      <c r="BB59" s="8" t="s">
        <v>75</v>
      </c>
    </row>
    <row r="60" spans="2:54" x14ac:dyDescent="0.2">
      <c r="B60" s="1" t="s">
        <v>552</v>
      </c>
      <c r="C60" s="45" t="s">
        <v>235</v>
      </c>
      <c r="D60" s="19"/>
      <c r="E60" s="11"/>
      <c r="F60" s="11"/>
      <c r="G60" s="92"/>
      <c r="H60" s="92">
        <f t="shared" ref="H60:N60" ca="1" si="102">+H48*1000/H53</f>
        <v>93.435268821326844</v>
      </c>
      <c r="I60" s="92">
        <f t="shared" ca="1" si="102"/>
        <v>107.50708469861678</v>
      </c>
      <c r="J60" s="92">
        <f t="shared" ca="1" si="102"/>
        <v>111.80736808656141</v>
      </c>
      <c r="K60" s="92">
        <f t="shared" ca="1" si="102"/>
        <v>116.27966281002389</v>
      </c>
      <c r="L60" s="92">
        <f t="shared" ca="1" si="102"/>
        <v>120.93084932242488</v>
      </c>
      <c r="M60" s="92">
        <f t="shared" ca="1" si="102"/>
        <v>125.76808329532186</v>
      </c>
      <c r="N60" s="92">
        <f t="shared" ca="1" si="102"/>
        <v>130.79880662713475</v>
      </c>
      <c r="P60" s="97"/>
      <c r="R60" s="25"/>
      <c r="S60" s="25"/>
      <c r="T60" s="25"/>
      <c r="U60" s="25"/>
      <c r="V60" s="92">
        <f t="shared" ref="V60:AC60" ca="1" si="103">+V48*1000/V53</f>
        <v>87.436913346976894</v>
      </c>
      <c r="W60" s="92">
        <f t="shared" ca="1" si="103"/>
        <v>109.01299814327743</v>
      </c>
      <c r="X60" s="92">
        <f t="shared" ca="1" si="103"/>
        <v>92.765221593121794</v>
      </c>
      <c r="Y60" s="92">
        <f t="shared" ca="1" si="103"/>
        <v>109.27318346638691</v>
      </c>
      <c r="Z60" s="92">
        <f t="shared" ca="1" si="103"/>
        <v>81.979871200871656</v>
      </c>
      <c r="AA60" s="92">
        <f t="shared" ca="1" si="103"/>
        <v>95.731117575146399</v>
      </c>
      <c r="AB60" s="92">
        <f t="shared" ca="1" si="103"/>
        <v>92.894327002105442</v>
      </c>
      <c r="AC60" s="92">
        <f t="shared" ca="1" si="103"/>
        <v>106.57954764992179</v>
      </c>
      <c r="AD60" s="92">
        <f t="shared" ref="AD60:BA60" ca="1" si="104">+AD48*1000/AD53</f>
        <v>94.276851881002415</v>
      </c>
      <c r="AE60" s="92">
        <f t="shared" ca="1" si="104"/>
        <v>110.09078521141834</v>
      </c>
      <c r="AF60" s="92">
        <f t="shared" ca="1" si="104"/>
        <v>106.82847605242128</v>
      </c>
      <c r="AG60" s="92">
        <f t="shared" ca="1" si="104"/>
        <v>122.56647979741004</v>
      </c>
      <c r="AH60" s="92">
        <f t="shared" ca="1" si="104"/>
        <v>98.047925956242509</v>
      </c>
      <c r="AI60" s="92">
        <f t="shared" ca="1" si="104"/>
        <v>114.4944166198751</v>
      </c>
      <c r="AJ60" s="92">
        <f t="shared" ca="1" si="104"/>
        <v>111.10161509451808</v>
      </c>
      <c r="AK60" s="92">
        <f t="shared" ca="1" si="104"/>
        <v>127.46913898930643</v>
      </c>
      <c r="AL60" s="92">
        <f t="shared" ca="1" si="104"/>
        <v>101.9698429944922</v>
      </c>
      <c r="AM60" s="92">
        <f t="shared" ca="1" si="104"/>
        <v>119.07419328467009</v>
      </c>
      <c r="AN60" s="92">
        <f t="shared" ca="1" si="104"/>
        <v>115.54567969829883</v>
      </c>
      <c r="AO60" s="92">
        <f t="shared" ca="1" si="104"/>
        <v>132.56790454887872</v>
      </c>
      <c r="AP60" s="92">
        <f t="shared" ca="1" si="104"/>
        <v>106.04863671427191</v>
      </c>
      <c r="AQ60" s="92">
        <f t="shared" ca="1" si="104"/>
        <v>123.83716101605692</v>
      </c>
      <c r="AR60" s="92">
        <f t="shared" ca="1" si="104"/>
        <v>120.16750688623078</v>
      </c>
      <c r="AS60" s="92">
        <f t="shared" ca="1" si="104"/>
        <v>137.87062073083388</v>
      </c>
      <c r="AT60" s="92">
        <f t="shared" ca="1" si="104"/>
        <v>110.29058218284278</v>
      </c>
      <c r="AU60" s="92">
        <f t="shared" ca="1" si="104"/>
        <v>128.79064745669919</v>
      </c>
      <c r="AV60" s="92">
        <f t="shared" ca="1" si="104"/>
        <v>124.97420716168003</v>
      </c>
      <c r="AW60" s="92">
        <f t="shared" ca="1" si="104"/>
        <v>143.38544556006724</v>
      </c>
      <c r="AX60" s="92">
        <f t="shared" ca="1" si="104"/>
        <v>114.70220547015651</v>
      </c>
      <c r="AY60" s="92">
        <f t="shared" ca="1" si="104"/>
        <v>133.94227335496717</v>
      </c>
      <c r="AZ60" s="92">
        <f t="shared" ca="1" si="104"/>
        <v>129.97317544814723</v>
      </c>
      <c r="BA60" s="92">
        <f t="shared" ca="1" si="104"/>
        <v>149.12086338246993</v>
      </c>
      <c r="BB60" s="8" t="s">
        <v>75</v>
      </c>
    </row>
    <row r="61" spans="2:54" x14ac:dyDescent="0.2">
      <c r="B61" s="19"/>
      <c r="C61" s="45"/>
      <c r="D61" s="19"/>
      <c r="E61" s="11"/>
      <c r="F61" s="11"/>
      <c r="G61" s="92"/>
      <c r="H61" s="92"/>
      <c r="I61" s="92"/>
      <c r="J61" s="92"/>
      <c r="K61" s="92"/>
      <c r="L61" s="92"/>
      <c r="M61" s="92"/>
      <c r="N61" s="92"/>
      <c r="P61" s="97"/>
      <c r="R61" s="25"/>
      <c r="S61" s="25"/>
      <c r="T61" s="25"/>
      <c r="U61" s="25"/>
      <c r="V61" s="92"/>
      <c r="W61" s="92"/>
      <c r="X61" s="92"/>
      <c r="Y61" s="92"/>
      <c r="Z61" s="92"/>
      <c r="AA61" s="92"/>
      <c r="AB61" s="92"/>
      <c r="AC61" s="92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  <c r="AV61" s="113"/>
      <c r="AW61" s="113"/>
      <c r="AX61" s="113"/>
      <c r="AY61" s="113"/>
      <c r="AZ61" s="113"/>
      <c r="BA61" s="113"/>
      <c r="BB61" s="8" t="s">
        <v>75</v>
      </c>
    </row>
    <row r="62" spans="2:54" x14ac:dyDescent="0.2">
      <c r="B62" s="2" t="s">
        <v>543</v>
      </c>
      <c r="C62" s="45" t="s">
        <v>187</v>
      </c>
      <c r="D62" s="19"/>
      <c r="E62" s="11"/>
      <c r="F62" s="11"/>
      <c r="G62" s="92"/>
      <c r="H62" s="13">
        <f ca="1">+SUMIFS(62:62,$6:$6,H$3)</f>
        <v>366.47870055226667</v>
      </c>
      <c r="I62" s="13">
        <f ca="1">+SUMIFS(62:62,$6:$6,I$3)</f>
        <v>592.20094417138068</v>
      </c>
      <c r="J62" s="13">
        <f ca="1">+SUMIFS(62:62,$6:$6,J$3)</f>
        <v>709.83209342488726</v>
      </c>
      <c r="K62" s="13">
        <f ca="1">+SUMIFS(62:62,$6:$6,K$3)</f>
        <v>814.15131672546784</v>
      </c>
      <c r="L62" s="13">
        <f t="shared" ref="L62:N62" ca="1" si="105">+SUMIFS(62:62,$6:$6,L$3)</f>
        <v>931.73572866502388</v>
      </c>
      <c r="M62" s="13">
        <f t="shared" ca="1" si="105"/>
        <v>1064.1562483913442</v>
      </c>
      <c r="N62" s="13">
        <f t="shared" ca="1" si="105"/>
        <v>1205.8814438275533</v>
      </c>
      <c r="P62" s="97"/>
      <c r="R62" s="25"/>
      <c r="S62" s="25"/>
      <c r="T62" s="25"/>
      <c r="U62" s="25"/>
      <c r="V62" s="24">
        <f t="shared" ref="V62:AC62" ca="1" si="106">+V33-V48</f>
        <v>38.888822573699514</v>
      </c>
      <c r="W62" s="24">
        <f t="shared" ca="1" si="106"/>
        <v>53.149014194030102</v>
      </c>
      <c r="X62" s="24">
        <f t="shared" ca="1" si="106"/>
        <v>69.452649799451848</v>
      </c>
      <c r="Y62" s="24">
        <f t="shared" ca="1" si="106"/>
        <v>38.71317795317924</v>
      </c>
      <c r="Z62" s="24">
        <f t="shared" ca="1" si="106"/>
        <v>71.777707949270692</v>
      </c>
      <c r="AA62" s="24">
        <f t="shared" ca="1" si="106"/>
        <v>116.50147784744738</v>
      </c>
      <c r="AB62" s="24">
        <f t="shared" ca="1" si="106"/>
        <v>114.1388957697969</v>
      </c>
      <c r="AC62" s="24">
        <f t="shared" ca="1" si="106"/>
        <v>64.060618985751745</v>
      </c>
      <c r="AD62" s="114">
        <f t="shared" ref="AD62:BA62" ca="1" si="107">+AD64*AD68/1000</f>
        <v>116.02489945268638</v>
      </c>
      <c r="AE62" s="24">
        <f t="shared" ca="1" si="107"/>
        <v>189.48466038409109</v>
      </c>
      <c r="AF62" s="24">
        <f t="shared" ca="1" si="107"/>
        <v>183.60920322785415</v>
      </c>
      <c r="AG62" s="24">
        <f t="shared" ca="1" si="107"/>
        <v>103.08218110674903</v>
      </c>
      <c r="AH62" s="24">
        <f t="shared" ca="1" si="107"/>
        <v>139.04412206250169</v>
      </c>
      <c r="AI62" s="24">
        <f t="shared" ca="1" si="107"/>
        <v>226.23634874763661</v>
      </c>
      <c r="AJ62" s="24">
        <f t="shared" ca="1" si="107"/>
        <v>220.67984980696846</v>
      </c>
      <c r="AK62" s="24">
        <f t="shared" ca="1" si="107"/>
        <v>123.8717728077805</v>
      </c>
      <c r="AL62" s="24">
        <f t="shared" ca="1" si="107"/>
        <v>159.47639380604505</v>
      </c>
      <c r="AM62" s="24">
        <f t="shared" ca="1" si="107"/>
        <v>259.41637563614762</v>
      </c>
      <c r="AN62" s="24">
        <f t="shared" ca="1" si="107"/>
        <v>253.15794835744353</v>
      </c>
      <c r="AO62" s="24">
        <f t="shared" ca="1" si="107"/>
        <v>142.10059892583158</v>
      </c>
      <c r="AP62" s="24">
        <f t="shared" ca="1" si="107"/>
        <v>182.50677224505466</v>
      </c>
      <c r="AQ62" s="24">
        <f t="shared" ca="1" si="107"/>
        <v>296.81385625857541</v>
      </c>
      <c r="AR62" s="24">
        <f t="shared" ca="1" si="107"/>
        <v>289.76710143603191</v>
      </c>
      <c r="AS62" s="24">
        <f t="shared" ca="1" si="107"/>
        <v>162.64799872536184</v>
      </c>
      <c r="AT62" s="24">
        <f t="shared" ca="1" si="107"/>
        <v>208.44293461567236</v>
      </c>
      <c r="AU62" s="24">
        <f t="shared" ca="1" si="107"/>
        <v>338.92819259525533</v>
      </c>
      <c r="AV62" s="24">
        <f t="shared" ca="1" si="107"/>
        <v>330.99655729088687</v>
      </c>
      <c r="AW62" s="24">
        <f t="shared" ca="1" si="107"/>
        <v>185.78856388952977</v>
      </c>
      <c r="AX62" s="24">
        <f t="shared" ca="1" si="107"/>
        <v>236.20150736213273</v>
      </c>
      <c r="AY62" s="24">
        <f t="shared" ca="1" si="107"/>
        <v>384.00099036435893</v>
      </c>
      <c r="AZ62" s="24">
        <f t="shared" ca="1" si="107"/>
        <v>375.12355391589472</v>
      </c>
      <c r="BA62" s="24">
        <f t="shared" ca="1" si="107"/>
        <v>210.55539218516694</v>
      </c>
      <c r="BB62" s="8" t="s">
        <v>75</v>
      </c>
    </row>
    <row r="63" spans="2:54" x14ac:dyDescent="0.2">
      <c r="B63" s="19"/>
      <c r="C63" s="45"/>
      <c r="D63" s="19"/>
      <c r="E63" s="11"/>
      <c r="F63" s="11"/>
      <c r="G63" s="92"/>
      <c r="H63" s="92"/>
      <c r="I63" s="92"/>
      <c r="J63" s="92"/>
      <c r="K63" s="92"/>
      <c r="L63" s="92"/>
      <c r="M63" s="92"/>
      <c r="N63" s="92"/>
      <c r="P63" s="97"/>
      <c r="R63" s="25"/>
      <c r="S63" s="25"/>
      <c r="T63" s="25"/>
      <c r="U63" s="25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8" t="s">
        <v>75</v>
      </c>
    </row>
    <row r="64" spans="2:54" s="2" customFormat="1" x14ac:dyDescent="0.2">
      <c r="B64" s="2" t="s">
        <v>232</v>
      </c>
      <c r="C64" s="81" t="s">
        <v>201</v>
      </c>
      <c r="D64" s="18"/>
      <c r="E64" s="13"/>
      <c r="F64" s="13"/>
      <c r="G64" s="112"/>
      <c r="H64" s="13">
        <f ca="1">+SUMIFS(64:64,$6:$6,H$3)</f>
        <v>3922.2737321286222</v>
      </c>
      <c r="I64" s="13">
        <f ca="1">+SUMIFS(64:64,$6:$6,I$3)</f>
        <v>5511.6099051526535</v>
      </c>
      <c r="J64" s="13">
        <f ca="1">+SUMIFS(64:64,$6:$6,J$3)</f>
        <v>6352.1506510710442</v>
      </c>
      <c r="K64" s="13">
        <f ca="1">+SUMIFS(64:64,$6:$6,K$3)</f>
        <v>7005.4528883835037</v>
      </c>
      <c r="L64" s="13">
        <f t="shared" ref="L64:N64" ca="1" si="108">+SUMIFS(64:64,$6:$6,L$3)</f>
        <v>7708.8545737093918</v>
      </c>
      <c r="M64" s="13">
        <f t="shared" ca="1" si="108"/>
        <v>8465.8114966777084</v>
      </c>
      <c r="N64" s="13">
        <f t="shared" ca="1" si="108"/>
        <v>9224.3121547392784</v>
      </c>
      <c r="P64" s="131"/>
      <c r="R64" s="32"/>
      <c r="S64" s="32"/>
      <c r="T64" s="32"/>
      <c r="U64" s="32"/>
      <c r="V64" s="24">
        <f t="shared" ref="V64:BA64" ca="1" si="109">+V13+V14-V53</f>
        <v>444.7643573530159</v>
      </c>
      <c r="W64" s="24">
        <f t="shared" ca="1" si="109"/>
        <v>487.54749524616824</v>
      </c>
      <c r="X64" s="24">
        <f t="shared" ca="1" si="109"/>
        <v>748.69276013890874</v>
      </c>
      <c r="Y64" s="24">
        <f t="shared" ca="1" si="109"/>
        <v>354.2788516368945</v>
      </c>
      <c r="Z64" s="24">
        <f t="shared" ca="1" si="109"/>
        <v>875.55282653954077</v>
      </c>
      <c r="AA64" s="24">
        <f t="shared" ca="1" si="109"/>
        <v>1216.9656094947056</v>
      </c>
      <c r="AB64" s="24">
        <f t="shared" ca="1" si="109"/>
        <v>1228.6960835316663</v>
      </c>
      <c r="AC64" s="24">
        <f t="shared" ca="1" si="109"/>
        <v>601.05921256270926</v>
      </c>
      <c r="AD64" s="24">
        <f t="shared" ca="1" si="109"/>
        <v>1230.6827936844418</v>
      </c>
      <c r="AE64" s="24">
        <f t="shared" ca="1" si="109"/>
        <v>1721.1673076925078</v>
      </c>
      <c r="AF64" s="24">
        <f t="shared" ca="1" si="109"/>
        <v>1718.7290319273693</v>
      </c>
      <c r="AG64" s="24">
        <f t="shared" ca="1" si="109"/>
        <v>841.03077184833433</v>
      </c>
      <c r="AH64" s="24">
        <f t="shared" ca="1" si="109"/>
        <v>1418.1240521554246</v>
      </c>
      <c r="AI64" s="24">
        <f t="shared" ca="1" si="109"/>
        <v>1975.9596618475125</v>
      </c>
      <c r="AJ64" s="24">
        <f t="shared" ca="1" si="109"/>
        <v>1986.2884047115633</v>
      </c>
      <c r="AK64" s="24">
        <f t="shared" ca="1" si="109"/>
        <v>971.77853235654391</v>
      </c>
      <c r="AL64" s="24">
        <f t="shared" ca="1" si="109"/>
        <v>1563.956451464371</v>
      </c>
      <c r="AM64" s="24">
        <f t="shared" ca="1" si="109"/>
        <v>2178.6112379192205</v>
      </c>
      <c r="AN64" s="24">
        <f t="shared" ca="1" si="109"/>
        <v>2190.9771877102103</v>
      </c>
      <c r="AO64" s="24">
        <f t="shared" ca="1" si="109"/>
        <v>1071.9080112897018</v>
      </c>
      <c r="AP64" s="24">
        <f t="shared" ca="1" si="109"/>
        <v>1720.972356644101</v>
      </c>
      <c r="AQ64" s="24">
        <f t="shared" ca="1" si="109"/>
        <v>2396.807661151809</v>
      </c>
      <c r="AR64" s="24">
        <f t="shared" ca="1" si="109"/>
        <v>2411.3598504658207</v>
      </c>
      <c r="AS64" s="24">
        <f t="shared" ca="1" si="109"/>
        <v>1179.7147054476607</v>
      </c>
      <c r="AT64" s="24">
        <f t="shared" ca="1" si="109"/>
        <v>1889.9431890758351</v>
      </c>
      <c r="AU64" s="24">
        <f t="shared" ca="1" si="109"/>
        <v>2631.6211564136024</v>
      </c>
      <c r="AV64" s="24">
        <f t="shared" ca="1" si="109"/>
        <v>2648.5189608978617</v>
      </c>
      <c r="AW64" s="24">
        <f t="shared" ca="1" si="109"/>
        <v>1295.7281902904081</v>
      </c>
      <c r="AX64" s="24">
        <f t="shared" ca="1" si="109"/>
        <v>2059.2586375646297</v>
      </c>
      <c r="AY64" s="24">
        <f t="shared" ca="1" si="109"/>
        <v>2866.9140872851885</v>
      </c>
      <c r="AZ64" s="24">
        <f t="shared" ca="1" si="109"/>
        <v>2886.1613376950245</v>
      </c>
      <c r="BA64" s="24">
        <f t="shared" ca="1" si="109"/>
        <v>1411.9780921944355</v>
      </c>
      <c r="BB64" s="8" t="s">
        <v>75</v>
      </c>
    </row>
    <row r="65" spans="1:57" x14ac:dyDescent="0.2">
      <c r="D65" s="8"/>
      <c r="E65" s="11"/>
      <c r="F65" s="11"/>
      <c r="G65" s="11"/>
      <c r="H65" s="11"/>
      <c r="I65" s="11"/>
      <c r="J65" s="11"/>
      <c r="K65" s="11"/>
      <c r="L65" s="11"/>
      <c r="M65" s="11"/>
      <c r="N65" s="11"/>
      <c r="R65" s="25"/>
      <c r="S65" s="25"/>
      <c r="T65" s="25"/>
      <c r="U65" s="25"/>
      <c r="V65" s="12"/>
      <c r="W65" s="12"/>
      <c r="X65" s="12"/>
      <c r="Y65" s="12"/>
      <c r="BB65" s="8" t="s">
        <v>75</v>
      </c>
    </row>
    <row r="66" spans="1:57" x14ac:dyDescent="0.2">
      <c r="B66" s="2" t="s">
        <v>551</v>
      </c>
      <c r="C66" s="45" t="s">
        <v>187</v>
      </c>
      <c r="D66" s="8"/>
      <c r="E66" s="11"/>
      <c r="F66" s="11"/>
      <c r="G66" s="11"/>
      <c r="H66" s="13">
        <f ca="1">+SUMIFS(66:66,$6:$6,H$3)</f>
        <v>503.29057318000093</v>
      </c>
      <c r="I66" s="13">
        <f ca="1">+SUMIFS(66:66,$6:$6,I$3)</f>
        <v>639.02987469188292</v>
      </c>
      <c r="J66" s="13">
        <f ca="1">+SUMIFS(66:66,$6:$6,J$3)</f>
        <v>732.14422519433799</v>
      </c>
      <c r="K66" s="13">
        <f ca="1">+SUMIFS(66:66,$6:$6,K$3)</f>
        <v>837.13281244800203</v>
      </c>
      <c r="L66" s="13">
        <f t="shared" ref="L66:N66" ca="1" si="110">+SUMIFS(66:66,$6:$6,L$3)</f>
        <v>955.40666925923392</v>
      </c>
      <c r="M66" s="13">
        <f t="shared" ca="1" si="110"/>
        <v>1088.5373172033808</v>
      </c>
      <c r="N66" s="13">
        <f t="shared" ca="1" si="110"/>
        <v>1230.993944703951</v>
      </c>
      <c r="R66" s="25"/>
      <c r="S66" s="25"/>
      <c r="T66" s="25"/>
      <c r="U66" s="25"/>
      <c r="V66" s="24">
        <f ca="1">+V62+V48</f>
        <v>73.918575470000036</v>
      </c>
      <c r="W66" s="24">
        <f t="shared" ref="W66:BA66" ca="1" si="111">+W62+W48</f>
        <v>101.0238715613492</v>
      </c>
      <c r="X66" s="24">
        <f t="shared" ca="1" si="111"/>
        <v>132.01327775000001</v>
      </c>
      <c r="Y66" s="24">
        <f t="shared" ca="1" si="111"/>
        <v>73.584716040000004</v>
      </c>
      <c r="Z66" s="24">
        <f t="shared" ca="1" si="111"/>
        <v>98.573378810000037</v>
      </c>
      <c r="AA66" s="24">
        <f t="shared" ca="1" si="111"/>
        <v>159.99318780000056</v>
      </c>
      <c r="AB66" s="24">
        <f t="shared" ca="1" si="111"/>
        <v>156.74861919000045</v>
      </c>
      <c r="AC66" s="24">
        <f t="shared" ca="1" si="111"/>
        <v>87.975387379999887</v>
      </c>
      <c r="AD66" s="24">
        <f t="shared" ca="1" si="111"/>
        <v>125.15897826359864</v>
      </c>
      <c r="AE66" s="24">
        <f t="shared" ca="1" si="111"/>
        <v>203.14393354397905</v>
      </c>
      <c r="AF66" s="24">
        <f t="shared" ca="1" si="111"/>
        <v>199.02429295707697</v>
      </c>
      <c r="AG66" s="24">
        <f t="shared" ca="1" si="111"/>
        <v>111.7026699272283</v>
      </c>
      <c r="AH66" s="24">
        <f t="shared" ca="1" si="111"/>
        <v>143.39614906282782</v>
      </c>
      <c r="AI66" s="24">
        <f t="shared" ca="1" si="111"/>
        <v>232.74445173506041</v>
      </c>
      <c r="AJ66" s="24">
        <f t="shared" ca="1" si="111"/>
        <v>228.02452988941755</v>
      </c>
      <c r="AK66" s="24">
        <f t="shared" ca="1" si="111"/>
        <v>127.97909450703222</v>
      </c>
      <c r="AL66" s="24">
        <f t="shared" ca="1" si="111"/>
        <v>163.95898161638095</v>
      </c>
      <c r="AM66" s="24">
        <f t="shared" ca="1" si="111"/>
        <v>266.11972171319411</v>
      </c>
      <c r="AN66" s="24">
        <f t="shared" ca="1" si="111"/>
        <v>260.72296884236613</v>
      </c>
      <c r="AO66" s="24">
        <f t="shared" ca="1" si="111"/>
        <v>146.33114027606084</v>
      </c>
      <c r="AP66" s="24">
        <f t="shared" ca="1" si="111"/>
        <v>187.12383768970065</v>
      </c>
      <c r="AQ66" s="24">
        <f t="shared" ca="1" si="111"/>
        <v>303.71830271793328</v>
      </c>
      <c r="AR66" s="24">
        <f t="shared" ca="1" si="111"/>
        <v>297.55907253550214</v>
      </c>
      <c r="AS66" s="24">
        <f t="shared" ca="1" si="111"/>
        <v>167.00545631609799</v>
      </c>
      <c r="AT66" s="24">
        <f t="shared" ca="1" si="111"/>
        <v>213.19851202365771</v>
      </c>
      <c r="AU66" s="24">
        <f t="shared" ca="1" si="111"/>
        <v>346.03977244839393</v>
      </c>
      <c r="AV66" s="24">
        <f t="shared" ca="1" si="111"/>
        <v>339.02228752334122</v>
      </c>
      <c r="AW66" s="24">
        <f t="shared" ca="1" si="111"/>
        <v>190.276745207988</v>
      </c>
      <c r="AX66" s="24">
        <f t="shared" ca="1" si="111"/>
        <v>241.09975209235765</v>
      </c>
      <c r="AY66" s="24">
        <f t="shared" ca="1" si="111"/>
        <v>391.32591761309175</v>
      </c>
      <c r="AZ66" s="24">
        <f t="shared" ca="1" si="111"/>
        <v>383.3900560553227</v>
      </c>
      <c r="BA66" s="24">
        <f t="shared" ca="1" si="111"/>
        <v>215.1782189431789</v>
      </c>
      <c r="BB66" s="8" t="s">
        <v>75</v>
      </c>
    </row>
    <row r="67" spans="1:57" x14ac:dyDescent="0.2">
      <c r="D67" s="8"/>
      <c r="E67" s="11"/>
      <c r="F67" s="11"/>
      <c r="G67" s="11"/>
      <c r="H67" s="11"/>
      <c r="I67" s="11"/>
      <c r="J67" s="11"/>
      <c r="K67" s="11"/>
      <c r="L67" s="11"/>
      <c r="M67" s="11"/>
      <c r="N67" s="11"/>
      <c r="R67" s="25"/>
      <c r="S67" s="25"/>
      <c r="T67" s="25"/>
      <c r="U67" s="25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8" t="s">
        <v>75</v>
      </c>
    </row>
    <row r="68" spans="1:57" s="2" customFormat="1" x14ac:dyDescent="0.2">
      <c r="B68" s="2" t="s">
        <v>546</v>
      </c>
      <c r="C68" s="81" t="s">
        <v>235</v>
      </c>
      <c r="D68" s="83"/>
      <c r="E68" s="13"/>
      <c r="F68" s="13"/>
      <c r="G68" s="13"/>
      <c r="H68" s="112">
        <f t="shared" ref="H68:N68" si="112">+H33*1000/(H13+H14)</f>
        <v>93.435268821326829</v>
      </c>
      <c r="I68" s="112">
        <f t="shared" ca="1" si="112"/>
        <v>107.45055914452584</v>
      </c>
      <c r="J68" s="112">
        <f t="shared" ca="1" si="112"/>
        <v>111.74858151030688</v>
      </c>
      <c r="K68" s="112">
        <f t="shared" ca="1" si="112"/>
        <v>116.21852477071916</v>
      </c>
      <c r="L68" s="112">
        <f t="shared" ca="1" si="112"/>
        <v>120.8672657615479</v>
      </c>
      <c r="M68" s="112">
        <f t="shared" ca="1" si="112"/>
        <v>125.70195639200988</v>
      </c>
      <c r="N68" s="112">
        <f t="shared" ref="N68" ca="1" si="113">+N33*1000/(N13+N14)</f>
        <v>130.73003464769025</v>
      </c>
      <c r="R68" s="32"/>
      <c r="S68" s="32"/>
      <c r="T68" s="32"/>
      <c r="U68" s="32"/>
      <c r="V68" s="112">
        <f t="shared" ref="V68:AC68" si="114">+V33*1000/(V13+V14)</f>
        <v>87.436913346976894</v>
      </c>
      <c r="W68" s="112">
        <f t="shared" si="114"/>
        <v>109.01299814327743</v>
      </c>
      <c r="X68" s="112">
        <f t="shared" si="114"/>
        <v>92.76522159312178</v>
      </c>
      <c r="Y68" s="112">
        <f t="shared" si="114"/>
        <v>109.2731834663869</v>
      </c>
      <c r="Z68" s="112">
        <f t="shared" si="114"/>
        <v>81.979871200871671</v>
      </c>
      <c r="AA68" s="112">
        <f t="shared" si="114"/>
        <v>95.731117575146413</v>
      </c>
      <c r="AB68" s="112">
        <f t="shared" si="114"/>
        <v>92.894327002105456</v>
      </c>
      <c r="AC68" s="112">
        <f t="shared" si="114"/>
        <v>106.57954764992178</v>
      </c>
      <c r="AD68" s="273">
        <f t="shared" ref="AD68:BA68" ca="1" si="115">+SUMPRODUCT(AD13:AD14,AD69:AD70)/SUM(AD13:AD14)</f>
        <v>94.276851881002429</v>
      </c>
      <c r="AE68" s="112">
        <f t="shared" ca="1" si="115"/>
        <v>110.09078521141835</v>
      </c>
      <c r="AF68" s="112">
        <f t="shared" ca="1" si="115"/>
        <v>106.82847605242127</v>
      </c>
      <c r="AG68" s="112">
        <f t="shared" ca="1" si="115"/>
        <v>122.56647979741004</v>
      </c>
      <c r="AH68" s="112">
        <f t="shared" ca="1" si="115"/>
        <v>98.047925956242509</v>
      </c>
      <c r="AI68" s="112">
        <f t="shared" ca="1" si="115"/>
        <v>114.4944166198751</v>
      </c>
      <c r="AJ68" s="112">
        <f t="shared" ca="1" si="115"/>
        <v>111.10161509451808</v>
      </c>
      <c r="AK68" s="112">
        <f t="shared" ca="1" si="115"/>
        <v>127.46913898930643</v>
      </c>
      <c r="AL68" s="112">
        <f t="shared" ca="1" si="115"/>
        <v>101.9698429944922</v>
      </c>
      <c r="AM68" s="112">
        <f t="shared" ca="1" si="115"/>
        <v>119.07419328467009</v>
      </c>
      <c r="AN68" s="112">
        <f t="shared" ca="1" si="115"/>
        <v>115.54567969829884</v>
      </c>
      <c r="AO68" s="112">
        <f t="shared" ca="1" si="115"/>
        <v>132.56790454887872</v>
      </c>
      <c r="AP68" s="112">
        <f t="shared" ca="1" si="115"/>
        <v>106.04863671427191</v>
      </c>
      <c r="AQ68" s="112">
        <f t="shared" ca="1" si="115"/>
        <v>123.83716101605692</v>
      </c>
      <c r="AR68" s="112">
        <f t="shared" ca="1" si="115"/>
        <v>120.16750688623078</v>
      </c>
      <c r="AS68" s="112">
        <f t="shared" ca="1" si="115"/>
        <v>137.87062073083388</v>
      </c>
      <c r="AT68" s="112">
        <f t="shared" ca="1" si="115"/>
        <v>110.29058218284278</v>
      </c>
      <c r="AU68" s="112">
        <f t="shared" ca="1" si="115"/>
        <v>128.79064745669919</v>
      </c>
      <c r="AV68" s="112">
        <f t="shared" ca="1" si="115"/>
        <v>124.97420716168001</v>
      </c>
      <c r="AW68" s="112">
        <f t="shared" ca="1" si="115"/>
        <v>143.38544556006724</v>
      </c>
      <c r="AX68" s="112">
        <f t="shared" ca="1" si="115"/>
        <v>114.70220547015651</v>
      </c>
      <c r="AY68" s="112">
        <f t="shared" ca="1" si="115"/>
        <v>133.94227335496717</v>
      </c>
      <c r="AZ68" s="112">
        <f t="shared" ca="1" si="115"/>
        <v>129.97317544814723</v>
      </c>
      <c r="BA68" s="112">
        <f t="shared" ca="1" si="115"/>
        <v>149.12086338246993</v>
      </c>
      <c r="BB68" s="8" t="s">
        <v>75</v>
      </c>
    </row>
    <row r="69" spans="1:57" x14ac:dyDescent="0.2">
      <c r="B69" s="19" t="s">
        <v>545</v>
      </c>
      <c r="C69" s="45" t="s">
        <v>235</v>
      </c>
      <c r="D69" s="138"/>
      <c r="E69" s="11"/>
      <c r="F69" s="11"/>
      <c r="G69" s="11"/>
      <c r="H69" s="92">
        <f t="shared" ref="H69:N69" ca="1" si="116">+(H33*1000/(H13+H14*$D70))</f>
        <v>94.495668195942045</v>
      </c>
      <c r="I69" s="92">
        <f t="shared" ca="1" si="116"/>
        <v>108.67001842533335</v>
      </c>
      <c r="J69" s="92">
        <f t="shared" ca="1" si="116"/>
        <v>113.01681916234669</v>
      </c>
      <c r="K69" s="92">
        <f t="shared" ca="1" si="116"/>
        <v>117.53749192884055</v>
      </c>
      <c r="L69" s="92">
        <f t="shared" ca="1" si="116"/>
        <v>122.23899160599416</v>
      </c>
      <c r="M69" s="92">
        <f t="shared" ca="1" si="116"/>
        <v>127.12855127023396</v>
      </c>
      <c r="N69" s="92">
        <f t="shared" ref="N69" ca="1" si="117">+(N33*1000/(N13+N14*$D70))</f>
        <v>132.21369332104331</v>
      </c>
      <c r="R69" s="25"/>
      <c r="S69" s="25"/>
      <c r="T69" s="25"/>
      <c r="U69" s="25"/>
      <c r="V69" s="92">
        <f t="shared" ref="V69:AC69" ca="1" si="118">+(V33*1000/(V13+V14*$D70))</f>
        <v>89.236575283409195</v>
      </c>
      <c r="W69" s="92">
        <f t="shared" ca="1" si="118"/>
        <v>111.84879353506109</v>
      </c>
      <c r="X69" s="92">
        <f t="shared" ca="1" si="118"/>
        <v>93.938949688000349</v>
      </c>
      <c r="Y69" s="92">
        <f t="shared" ca="1" si="118"/>
        <v>113.84014905426626</v>
      </c>
      <c r="Z69" s="92">
        <f t="shared" ca="1" si="118"/>
        <v>82.678181457346895</v>
      </c>
      <c r="AA69" s="92">
        <f t="shared" ca="1" si="118"/>
        <v>96.597881611903148</v>
      </c>
      <c r="AB69" s="92">
        <f t="shared" ca="1" si="118"/>
        <v>93.034429722071749</v>
      </c>
      <c r="AC69" s="92">
        <f t="shared" ca="1" si="118"/>
        <v>110.98324579478204</v>
      </c>
      <c r="AD69" s="113">
        <f ca="1">+Z69*(1+SUMIFS(Drivers!18:18,Drivers!3:3,North!AD$3))</f>
        <v>95.079908675948928</v>
      </c>
      <c r="AE69" s="113">
        <f ca="1">+AA69*(1+SUMIFS(Drivers!18:18,Drivers!3:3,North!AE$3))</f>
        <v>111.08756385368861</v>
      </c>
      <c r="AF69" s="113">
        <f ca="1">+AB69*(1+SUMIFS(Drivers!18:18,Drivers!3:3,North!AF$3))</f>
        <v>106.9895941803825</v>
      </c>
      <c r="AG69" s="113">
        <f ca="1">+AC69*(1+SUMIFS(Drivers!18:18,Drivers!3:3,North!AG$3))</f>
        <v>127.63073266399932</v>
      </c>
      <c r="AH69" s="113">
        <f ca="1">+AD69*(1+SUMIFS(Drivers!18:18,Drivers!3:3,North!AH$3))</f>
        <v>98.883105022986882</v>
      </c>
      <c r="AI69" s="113">
        <f ca="1">+AE69*(1+SUMIFS(Drivers!18:18,Drivers!3:3,North!AI$3))</f>
        <v>115.53106640783615</v>
      </c>
      <c r="AJ69" s="113">
        <f ca="1">+AF69*(1+SUMIFS(Drivers!18:18,Drivers!3:3,North!AJ$3))</f>
        <v>111.2691779475978</v>
      </c>
      <c r="AK69" s="113">
        <f ca="1">+AG69*(1+SUMIFS(Drivers!18:18,Drivers!3:3,North!AK$3))</f>
        <v>132.73596197055932</v>
      </c>
      <c r="AL69" s="113">
        <f ca="1">+AH69*(1+SUMIFS(Drivers!18:18,Drivers!3:3,North!AL$3))</f>
        <v>102.83842922390636</v>
      </c>
      <c r="AM69" s="113">
        <f ca="1">+AI69*(1+SUMIFS(Drivers!18:18,Drivers!3:3,North!AM$3))</f>
        <v>120.15230906414961</v>
      </c>
      <c r="AN69" s="113">
        <f ca="1">+AJ69*(1+SUMIFS(Drivers!18:18,Drivers!3:3,North!AN$3))</f>
        <v>115.71994506550172</v>
      </c>
      <c r="AO69" s="113">
        <f ca="1">+AK69*(1+SUMIFS(Drivers!18:18,Drivers!3:3,North!AO$3))</f>
        <v>138.0454004493817</v>
      </c>
      <c r="AP69" s="113">
        <f ca="1">+AL69*(1+SUMIFS(Drivers!18:18,Drivers!3:3,North!AP$3))</f>
        <v>106.95196639286262</v>
      </c>
      <c r="AQ69" s="113">
        <f ca="1">+AM69*(1+SUMIFS(Drivers!18:18,Drivers!3:3,North!AQ$3))</f>
        <v>124.9584014267156</v>
      </c>
      <c r="AR69" s="113">
        <f ca="1">+AN69*(1+SUMIFS(Drivers!18:18,Drivers!3:3,North!AR$3))</f>
        <v>120.34874286812179</v>
      </c>
      <c r="AS69" s="113">
        <f ca="1">+AO69*(1+SUMIFS(Drivers!18:18,Drivers!3:3,North!AS$3))</f>
        <v>143.56721646735699</v>
      </c>
      <c r="AT69" s="113">
        <f ca="1">+AP69*(1+SUMIFS(Drivers!18:18,Drivers!3:3,North!AT$3))</f>
        <v>111.23004504857713</v>
      </c>
      <c r="AU69" s="113">
        <f ca="1">+AQ69*(1+SUMIFS(Drivers!18:18,Drivers!3:3,North!AU$3))</f>
        <v>129.95673748378422</v>
      </c>
      <c r="AV69" s="113">
        <f ca="1">+AR69*(1+SUMIFS(Drivers!18:18,Drivers!3:3,North!AV$3))</f>
        <v>125.16269258284666</v>
      </c>
      <c r="AW69" s="113">
        <f ca="1">+AS69*(1+SUMIFS(Drivers!18:18,Drivers!3:3,North!AW$3))</f>
        <v>149.30990512605126</v>
      </c>
      <c r="AX69" s="113">
        <f ca="1">+AT69*(1+SUMIFS(Drivers!18:18,Drivers!3:3,North!AX$3))</f>
        <v>115.67924685052022</v>
      </c>
      <c r="AY69" s="113">
        <f ca="1">+AU69*(1+SUMIFS(Drivers!18:18,Drivers!3:3,North!AY$3))</f>
        <v>135.15500698313559</v>
      </c>
      <c r="AZ69" s="113">
        <f ca="1">+AV69*(1+SUMIFS(Drivers!18:18,Drivers!3:3,North!AZ$3))</f>
        <v>130.16920028616053</v>
      </c>
      <c r="BA69" s="113">
        <f ca="1">+AW69*(1+SUMIFS(Drivers!18:18,Drivers!3:3,North!BA$3))</f>
        <v>155.28230133109332</v>
      </c>
      <c r="BB69" s="8" t="s">
        <v>75</v>
      </c>
    </row>
    <row r="70" spans="1:57" x14ac:dyDescent="0.2">
      <c r="B70" s="19" t="s">
        <v>544</v>
      </c>
      <c r="C70" s="45" t="s">
        <v>235</v>
      </c>
      <c r="D70" s="168">
        <f ca="1">+Ctrl!$G$32</f>
        <v>0.75</v>
      </c>
      <c r="E70" s="11"/>
      <c r="F70" s="11"/>
      <c r="G70" s="11"/>
      <c r="H70" s="92">
        <f t="shared" ref="H70:N70" ca="1" si="119">+(H33*1000/(H13+H14*$D70))*$D70</f>
        <v>70.871751146956541</v>
      </c>
      <c r="I70" s="92">
        <f t="shared" ca="1" si="119"/>
        <v>81.502513819000015</v>
      </c>
      <c r="J70" s="92">
        <f t="shared" ca="1" si="119"/>
        <v>84.762614371760023</v>
      </c>
      <c r="K70" s="92">
        <f t="shared" ca="1" si="119"/>
        <v>88.153118946630414</v>
      </c>
      <c r="L70" s="92">
        <f t="shared" ca="1" si="119"/>
        <v>91.679243704495619</v>
      </c>
      <c r="M70" s="92">
        <f t="shared" ca="1" si="119"/>
        <v>95.346413452675463</v>
      </c>
      <c r="N70" s="92">
        <f t="shared" ref="N70" ca="1" si="120">+(N33*1000/(N13+N14*$D70))*$D70</f>
        <v>99.160269990782481</v>
      </c>
      <c r="R70" s="25"/>
      <c r="S70" s="25"/>
      <c r="T70" s="25"/>
      <c r="U70" s="25"/>
      <c r="V70" s="92">
        <f t="shared" ref="V70:AC70" ca="1" si="121">+(V33*1000/(V13+V14*$D70))*$D70</f>
        <v>66.927431462556896</v>
      </c>
      <c r="W70" s="92">
        <f t="shared" ca="1" si="121"/>
        <v>83.886595151295822</v>
      </c>
      <c r="X70" s="92">
        <f t="shared" ca="1" si="121"/>
        <v>70.454212266000269</v>
      </c>
      <c r="Y70" s="92">
        <f t="shared" ca="1" si="121"/>
        <v>85.380111790699701</v>
      </c>
      <c r="Z70" s="92">
        <f t="shared" ca="1" si="121"/>
        <v>62.008636093010168</v>
      </c>
      <c r="AA70" s="92">
        <f t="shared" ca="1" si="121"/>
        <v>72.448411208927354</v>
      </c>
      <c r="AB70" s="92">
        <f t="shared" ca="1" si="121"/>
        <v>69.775822291553808</v>
      </c>
      <c r="AC70" s="92">
        <f t="shared" ca="1" si="121"/>
        <v>83.23743434608653</v>
      </c>
      <c r="AD70" s="113">
        <f ca="1">+Z70*(1+SUMIFS(Drivers!21:21,Drivers!3:3,North!AD$3))</f>
        <v>71.309931506961689</v>
      </c>
      <c r="AE70" s="113">
        <f ca="1">+AA70*(1+SUMIFS(Drivers!21:21,Drivers!3:3,North!AE$3))</f>
        <v>83.315672890266455</v>
      </c>
      <c r="AF70" s="113">
        <f ca="1">+AB70*(1+SUMIFS(Drivers!21:21,Drivers!3:3,North!AF$3))</f>
        <v>80.242195635286876</v>
      </c>
      <c r="AG70" s="113">
        <f ca="1">+AC70*(1+SUMIFS(Drivers!21:21,Drivers!3:3,North!AG$3))</f>
        <v>95.723049497999497</v>
      </c>
      <c r="AH70" s="113">
        <f ca="1">+AD70*(1+SUMIFS(Drivers!21:21,Drivers!3:3,North!AH$3))</f>
        <v>74.162328767240155</v>
      </c>
      <c r="AI70" s="113">
        <f ca="1">+AE70*(1+SUMIFS(Drivers!21:21,Drivers!3:3,North!AI$3))</f>
        <v>86.648299805877116</v>
      </c>
      <c r="AJ70" s="113">
        <f ca="1">+AF70*(1+SUMIFS(Drivers!21:21,Drivers!3:3,North!AJ$3))</f>
        <v>83.451883460698355</v>
      </c>
      <c r="AK70" s="113">
        <f ca="1">+AG70*(1+SUMIFS(Drivers!21:21,Drivers!3:3,North!AK$3))</f>
        <v>99.55197147791948</v>
      </c>
      <c r="AL70" s="113">
        <f ca="1">+AH70*(1+SUMIFS(Drivers!21:21,Drivers!3:3,North!AL$3))</f>
        <v>77.12882191792977</v>
      </c>
      <c r="AM70" s="113">
        <f ca="1">+AI70*(1+SUMIFS(Drivers!21:21,Drivers!3:3,North!AM$3))</f>
        <v>90.114231798112201</v>
      </c>
      <c r="AN70" s="113">
        <f ca="1">+AJ70*(1+SUMIFS(Drivers!21:21,Drivers!3:3,North!AN$3))</f>
        <v>86.789958799126296</v>
      </c>
      <c r="AO70" s="113">
        <f ca="1">+AK70*(1+SUMIFS(Drivers!21:21,Drivers!3:3,North!AO$3))</f>
        <v>103.53405033703626</v>
      </c>
      <c r="AP70" s="113">
        <f ca="1">+AL70*(1+SUMIFS(Drivers!21:21,Drivers!3:3,North!AP$3))</f>
        <v>80.213974794646958</v>
      </c>
      <c r="AQ70" s="113">
        <f ca="1">+AM70*(1+SUMIFS(Drivers!21:21,Drivers!3:3,North!AQ$3))</f>
        <v>93.71880107003669</v>
      </c>
      <c r="AR70" s="113">
        <f ca="1">+AN70*(1+SUMIFS(Drivers!21:21,Drivers!3:3,North!AR$3))</f>
        <v>90.261557151091353</v>
      </c>
      <c r="AS70" s="113">
        <f ca="1">+AO70*(1+SUMIFS(Drivers!21:21,Drivers!3:3,North!AS$3))</f>
        <v>107.67541235051772</v>
      </c>
      <c r="AT70" s="113">
        <f ca="1">+AP70*(1+SUMIFS(Drivers!21:21,Drivers!3:3,North!AT$3))</f>
        <v>83.422533786432837</v>
      </c>
      <c r="AU70" s="113">
        <f ca="1">+AQ70*(1+SUMIFS(Drivers!21:21,Drivers!3:3,North!AU$3))</f>
        <v>97.467553112838161</v>
      </c>
      <c r="AV70" s="113">
        <f ca="1">+AR70*(1+SUMIFS(Drivers!21:21,Drivers!3:3,North!AV$3))</f>
        <v>93.872019437135009</v>
      </c>
      <c r="AW70" s="113">
        <f ca="1">+AS70*(1+SUMIFS(Drivers!21:21,Drivers!3:3,North!AW$3))</f>
        <v>111.98242884453843</v>
      </c>
      <c r="AX70" s="113">
        <f ca="1">+AT70*(1+SUMIFS(Drivers!21:21,Drivers!3:3,North!AX$3))</f>
        <v>86.759435137890151</v>
      </c>
      <c r="AY70" s="113">
        <f ca="1">+AU70*(1+SUMIFS(Drivers!21:21,Drivers!3:3,North!AY$3))</f>
        <v>101.36625523735169</v>
      </c>
      <c r="AZ70" s="113">
        <f ca="1">+AV70*(1+SUMIFS(Drivers!21:21,Drivers!3:3,North!AZ$3))</f>
        <v>97.626900214620406</v>
      </c>
      <c r="BA70" s="113">
        <f ca="1">+AW70*(1+SUMIFS(Drivers!21:21,Drivers!3:3,North!BA$3))</f>
        <v>116.46172599831998</v>
      </c>
      <c r="BB70" s="8" t="s">
        <v>75</v>
      </c>
    </row>
    <row r="71" spans="1:57" x14ac:dyDescent="0.2">
      <c r="B71" s="19"/>
      <c r="D71" s="29"/>
      <c r="E71" s="11"/>
      <c r="F71" s="11"/>
      <c r="G71" s="11"/>
      <c r="H71" s="11"/>
      <c r="I71" s="11"/>
      <c r="J71" s="11"/>
      <c r="K71" s="11"/>
      <c r="L71" s="11"/>
      <c r="M71" s="11"/>
      <c r="N71" s="11"/>
      <c r="R71" s="25"/>
      <c r="S71" s="25"/>
      <c r="T71" s="25"/>
      <c r="U71" s="25"/>
      <c r="V71" s="92"/>
      <c r="W71" s="12"/>
      <c r="X71" s="12"/>
      <c r="Y71" s="12"/>
      <c r="Z71" s="12"/>
      <c r="AA71" s="12"/>
      <c r="AB71" s="12"/>
      <c r="AC71" s="12"/>
      <c r="BB71" s="8" t="s">
        <v>75</v>
      </c>
    </row>
    <row r="72" spans="1:57" s="35" customFormat="1" x14ac:dyDescent="0.2">
      <c r="A72" s="17" t="s">
        <v>75</v>
      </c>
      <c r="B72" s="36" t="s">
        <v>535</v>
      </c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37"/>
      <c r="P72" s="37"/>
      <c r="Q72" s="37"/>
      <c r="U72" s="37"/>
      <c r="V72" s="37"/>
      <c r="W72" s="37"/>
      <c r="X72" s="37"/>
      <c r="Y72" s="44"/>
      <c r="Z72" s="44"/>
      <c r="AA72" s="44"/>
      <c r="AB72" s="44"/>
      <c r="AC72" s="44"/>
      <c r="AD72" s="44"/>
      <c r="AE72" s="44"/>
      <c r="AF72" s="44"/>
      <c r="BB72" s="90" t="s">
        <v>75</v>
      </c>
      <c r="BE72" s="90"/>
    </row>
    <row r="73" spans="1:57" x14ac:dyDescent="0.2">
      <c r="B73" s="1" t="s">
        <v>538</v>
      </c>
      <c r="C73" s="45" t="s">
        <v>187</v>
      </c>
      <c r="V73" s="11">
        <f>V75*V76</f>
        <v>-32.303754895999994</v>
      </c>
      <c r="W73" s="11">
        <f t="shared" ref="W73:AC73" si="122">W75*W76</f>
        <v>-41.722568242375992</v>
      </c>
      <c r="X73" s="11">
        <f t="shared" si="122"/>
        <v>-44.586112803624005</v>
      </c>
      <c r="Y73" s="11">
        <f t="shared" si="122"/>
        <v>-46.266324264999994</v>
      </c>
      <c r="Z73" s="11">
        <f t="shared" si="122"/>
        <v>-39.617591937000022</v>
      </c>
      <c r="AA73" s="11">
        <f t="shared" si="122"/>
        <v>-40.857380592000439</v>
      </c>
      <c r="AB73" s="11">
        <f t="shared" si="122"/>
        <v>-40.586806792000182</v>
      </c>
      <c r="AC73" s="11">
        <f t="shared" si="122"/>
        <v>-41.325540591999911</v>
      </c>
      <c r="AD73" s="106">
        <f ca="1">-AD78*AD82/1000</f>
        <v>-41.202295614480022</v>
      </c>
      <c r="AE73" s="11">
        <f t="shared" ref="AE73:BA73" ca="1" si="123">-AE78*AE82/1000</f>
        <v>-42.491675815680459</v>
      </c>
      <c r="AF73" s="11">
        <f t="shared" ca="1" si="123"/>
        <v>-42.210279063680197</v>
      </c>
      <c r="AG73" s="11">
        <f t="shared" ca="1" si="123"/>
        <v>-42.978562215679908</v>
      </c>
      <c r="AH73" s="11">
        <f t="shared" ca="1" si="123"/>
        <v>-42.850387439059226</v>
      </c>
      <c r="AI73" s="11">
        <f t="shared" ca="1" si="123"/>
        <v>-44.191342848307677</v>
      </c>
      <c r="AJ73" s="11">
        <f t="shared" ca="1" si="123"/>
        <v>-43.898690226227401</v>
      </c>
      <c r="AK73" s="11">
        <f t="shared" ca="1" si="123"/>
        <v>-44.6977047043071</v>
      </c>
      <c r="AL73" s="11">
        <f t="shared" ca="1" si="123"/>
        <v>-58.490778854315842</v>
      </c>
      <c r="AM73" s="11">
        <f t="shared" ca="1" si="123"/>
        <v>-60.321182987939984</v>
      </c>
      <c r="AN73" s="11">
        <f t="shared" ca="1" si="123"/>
        <v>-59.92171215880041</v>
      </c>
      <c r="AO73" s="11">
        <f t="shared" ca="1" si="123"/>
        <v>-61.012366921379204</v>
      </c>
      <c r="AP73" s="11">
        <f t="shared" ca="1" si="123"/>
        <v>-60.830410008488478</v>
      </c>
      <c r="AQ73" s="11">
        <f t="shared" ca="1" si="123"/>
        <v>-62.734030307457587</v>
      </c>
      <c r="AR73" s="11">
        <f t="shared" ca="1" si="123"/>
        <v>-62.318580645152423</v>
      </c>
      <c r="AS73" s="11">
        <f t="shared" ca="1" si="123"/>
        <v>-63.452861598234364</v>
      </c>
      <c r="AT73" s="11">
        <f t="shared" ca="1" si="123"/>
        <v>-63.263626408828017</v>
      </c>
      <c r="AU73" s="11">
        <f t="shared" ca="1" si="123"/>
        <v>-65.243391519755889</v>
      </c>
      <c r="AV73" s="11">
        <f t="shared" ca="1" si="123"/>
        <v>-64.811323870958518</v>
      </c>
      <c r="AW73" s="11">
        <f t="shared" ca="1" si="123"/>
        <v>-65.990976062163739</v>
      </c>
      <c r="AX73" s="11">
        <f t="shared" ca="1" si="123"/>
        <v>-65.794171465181151</v>
      </c>
      <c r="AY73" s="11">
        <f t="shared" ca="1" si="123"/>
        <v>-67.853127180546124</v>
      </c>
      <c r="AZ73" s="11">
        <f t="shared" ca="1" si="123"/>
        <v>-67.403776825796868</v>
      </c>
      <c r="BA73" s="11">
        <f t="shared" ca="1" si="123"/>
        <v>-68.630615104650289</v>
      </c>
      <c r="BB73" s="8" t="s">
        <v>75</v>
      </c>
    </row>
    <row r="74" spans="1:57" x14ac:dyDescent="0.2">
      <c r="B74" s="1" t="s">
        <v>539</v>
      </c>
      <c r="C74" s="45" t="s">
        <v>187</v>
      </c>
      <c r="V74" s="11">
        <f>+V75-V73</f>
        <v>-13.844466384</v>
      </c>
      <c r="W74" s="11">
        <f t="shared" ref="W74:AC74" si="124">+W75-W73</f>
        <v>-17.881100675304005</v>
      </c>
      <c r="X74" s="11">
        <f t="shared" si="124"/>
        <v>-19.108334058696009</v>
      </c>
      <c r="Y74" s="11">
        <f t="shared" si="124"/>
        <v>-19.828424685000002</v>
      </c>
      <c r="Z74" s="11">
        <f>+Z75-Z73</f>
        <v>-16.97896797300001</v>
      </c>
      <c r="AA74" s="11">
        <f t="shared" si="124"/>
        <v>-17.510305968000196</v>
      </c>
      <c r="AB74" s="11">
        <f t="shared" si="124"/>
        <v>-17.394345768000079</v>
      </c>
      <c r="AC74" s="11">
        <f t="shared" si="124"/>
        <v>-17.710945967999962</v>
      </c>
      <c r="AD74" s="106">
        <f t="shared" ref="AD74:BA74" ca="1" si="125">+AD86+AD87</f>
        <v>-22.773384349383647</v>
      </c>
      <c r="AE74" s="11">
        <f t="shared" ca="1" si="125"/>
        <v>-25.571346677019324</v>
      </c>
      <c r="AF74" s="11">
        <f t="shared" ca="1" si="125"/>
        <v>-25.564052271660344</v>
      </c>
      <c r="AG74" s="11">
        <f t="shared" ca="1" si="125"/>
        <v>-24.642808975473898</v>
      </c>
      <c r="AH74" s="11">
        <f t="shared" ca="1" si="125"/>
        <v>-27.495848110487991</v>
      </c>
      <c r="AI74" s="11">
        <f t="shared" ca="1" si="125"/>
        <v>-29.853080280351847</v>
      </c>
      <c r="AJ74" s="11">
        <f t="shared" ca="1" si="125"/>
        <v>-29.837804565725342</v>
      </c>
      <c r="AK74" s="11">
        <f t="shared" ca="1" si="125"/>
        <v>-28.586547330312808</v>
      </c>
      <c r="AL74" s="11">
        <f t="shared" ca="1" si="125"/>
        <v>-31.994354362139731</v>
      </c>
      <c r="AM74" s="11">
        <f t="shared" ca="1" si="125"/>
        <v>-34.782454899270348</v>
      </c>
      <c r="AN74" s="11">
        <f t="shared" ca="1" si="125"/>
        <v>-34.756914857012333</v>
      </c>
      <c r="AO74" s="11">
        <f t="shared" ca="1" si="125"/>
        <v>-33.097756151594744</v>
      </c>
      <c r="AP74" s="11">
        <f t="shared" ca="1" si="125"/>
        <v>-37.161887100717209</v>
      </c>
      <c r="AQ74" s="11">
        <f t="shared" ca="1" si="125"/>
        <v>-40.452051756752127</v>
      </c>
      <c r="AR74" s="11">
        <f t="shared" ca="1" si="125"/>
        <v>-40.413498585620658</v>
      </c>
      <c r="AS74" s="11">
        <f t="shared" ca="1" si="125"/>
        <v>-38.253791754043839</v>
      </c>
      <c r="AT74" s="11">
        <f t="shared" ca="1" si="125"/>
        <v>-43.092827986533052</v>
      </c>
      <c r="AU74" s="11">
        <f t="shared" ca="1" si="125"/>
        <v>-46.967221193302642</v>
      </c>
      <c r="AV74" s="11">
        <f t="shared" ca="1" si="125"/>
        <v>-46.912359454510636</v>
      </c>
      <c r="AW74" s="11">
        <f t="shared" ca="1" si="125"/>
        <v>-44.142231164601583</v>
      </c>
      <c r="AX74" s="11">
        <f t="shared" ca="1" si="125"/>
        <v>-49.601079875187764</v>
      </c>
      <c r="AY74" s="11">
        <f t="shared" ca="1" si="125"/>
        <v>-54.127670473741574</v>
      </c>
      <c r="AZ74" s="11">
        <f t="shared" ca="1" si="125"/>
        <v>-54.053006060367856</v>
      </c>
      <c r="BA74" s="11">
        <f t="shared" ca="1" si="125"/>
        <v>-50.563147896681443</v>
      </c>
      <c r="BB74" s="8" t="s">
        <v>75</v>
      </c>
    </row>
    <row r="75" spans="1:57" s="2" customFormat="1" x14ac:dyDescent="0.2">
      <c r="B75" s="2" t="s">
        <v>537</v>
      </c>
      <c r="C75" s="81" t="s">
        <v>187</v>
      </c>
      <c r="V75" s="13">
        <f t="shared" ref="V75:AC75" si="126">-(V33-V44+V39)</f>
        <v>-46.148221279999994</v>
      </c>
      <c r="W75" s="13">
        <f t="shared" si="126"/>
        <v>-59.603668917679997</v>
      </c>
      <c r="X75" s="13">
        <f t="shared" si="126"/>
        <v>-63.694446862320014</v>
      </c>
      <c r="Y75" s="13">
        <f t="shared" si="126"/>
        <v>-66.094748949999996</v>
      </c>
      <c r="Z75" s="13">
        <f t="shared" si="126"/>
        <v>-56.596559910000032</v>
      </c>
      <c r="AA75" s="13">
        <f t="shared" si="126"/>
        <v>-58.367686560000635</v>
      </c>
      <c r="AB75" s="13">
        <f t="shared" si="126"/>
        <v>-57.981152560000261</v>
      </c>
      <c r="AC75" s="13">
        <f t="shared" si="126"/>
        <v>-59.036486559999872</v>
      </c>
      <c r="AD75" s="114">
        <f ca="1">+AD73+AD74</f>
        <v>-63.975679963863669</v>
      </c>
      <c r="AE75" s="13">
        <f t="shared" ref="AE75:BA75" ca="1" si="127">+AE73+AE74</f>
        <v>-68.063022492699787</v>
      </c>
      <c r="AF75" s="13">
        <f t="shared" ca="1" si="127"/>
        <v>-67.774331335340548</v>
      </c>
      <c r="AG75" s="13">
        <f t="shared" ca="1" si="127"/>
        <v>-67.621371191153798</v>
      </c>
      <c r="AH75" s="13">
        <f t="shared" ca="1" si="127"/>
        <v>-70.346235549547217</v>
      </c>
      <c r="AI75" s="13">
        <f t="shared" ca="1" si="127"/>
        <v>-74.044423128659531</v>
      </c>
      <c r="AJ75" s="13">
        <f t="shared" ca="1" si="127"/>
        <v>-73.736494791952737</v>
      </c>
      <c r="AK75" s="13">
        <f t="shared" ca="1" si="127"/>
        <v>-73.284252034619911</v>
      </c>
      <c r="AL75" s="13">
        <f t="shared" ca="1" si="127"/>
        <v>-90.48513321645558</v>
      </c>
      <c r="AM75" s="13">
        <f t="shared" ca="1" si="127"/>
        <v>-95.10363788721034</v>
      </c>
      <c r="AN75" s="13">
        <f t="shared" ca="1" si="127"/>
        <v>-94.678627015812737</v>
      </c>
      <c r="AO75" s="13">
        <f t="shared" ca="1" si="127"/>
        <v>-94.110123072973948</v>
      </c>
      <c r="AP75" s="13">
        <f t="shared" ca="1" si="127"/>
        <v>-97.99229710920568</v>
      </c>
      <c r="AQ75" s="13">
        <f t="shared" ca="1" si="127"/>
        <v>-103.18608206420971</v>
      </c>
      <c r="AR75" s="13">
        <f t="shared" ca="1" si="127"/>
        <v>-102.73207923077308</v>
      </c>
      <c r="AS75" s="13">
        <f t="shared" ca="1" si="127"/>
        <v>-101.70665335227821</v>
      </c>
      <c r="AT75" s="13">
        <f t="shared" ca="1" si="127"/>
        <v>-106.35645439536107</v>
      </c>
      <c r="AU75" s="13">
        <f t="shared" ca="1" si="127"/>
        <v>-112.21061271305854</v>
      </c>
      <c r="AV75" s="13">
        <f t="shared" ca="1" si="127"/>
        <v>-111.72368332546915</v>
      </c>
      <c r="AW75" s="13">
        <f t="shared" ca="1" si="127"/>
        <v>-110.13320722676532</v>
      </c>
      <c r="AX75" s="13">
        <f t="shared" ca="1" si="127"/>
        <v>-115.39525134036892</v>
      </c>
      <c r="AY75" s="13">
        <f t="shared" ca="1" si="127"/>
        <v>-121.9807976542877</v>
      </c>
      <c r="AZ75" s="13">
        <f t="shared" ca="1" si="127"/>
        <v>-121.45678288616472</v>
      </c>
      <c r="BA75" s="13">
        <f t="shared" ca="1" si="127"/>
        <v>-119.19376300133173</v>
      </c>
      <c r="BB75" s="8" t="s">
        <v>75</v>
      </c>
    </row>
    <row r="76" spans="1:57" x14ac:dyDescent="0.2">
      <c r="B76" s="19" t="s">
        <v>536</v>
      </c>
      <c r="C76" s="45" t="s">
        <v>177</v>
      </c>
      <c r="V76" s="267">
        <v>0.7</v>
      </c>
      <c r="W76" s="267">
        <v>0.7</v>
      </c>
      <c r="X76" s="267">
        <v>0.7</v>
      </c>
      <c r="Y76" s="267">
        <v>0.7</v>
      </c>
      <c r="Z76" s="267">
        <v>0.7</v>
      </c>
      <c r="AA76" s="267">
        <v>0.7</v>
      </c>
      <c r="AB76" s="267">
        <v>0.7</v>
      </c>
      <c r="AC76" s="267">
        <v>0.7</v>
      </c>
      <c r="AD76" s="134">
        <f ca="1">+AD73/AD75</f>
        <v>0.64403060096825737</v>
      </c>
      <c r="AE76" s="134">
        <f t="shared" ref="AE76:BA76" ca="1" si="128">+AE73/AE75</f>
        <v>0.62429898437492948</v>
      </c>
      <c r="AF76" s="134">
        <f t="shared" ca="1" si="128"/>
        <v>0.62280627830657598</v>
      </c>
      <c r="AG76" s="134">
        <f t="shared" ca="1" si="128"/>
        <v>0.63557661518260289</v>
      </c>
      <c r="AH76" s="134">
        <f t="shared" ca="1" si="128"/>
        <v>0.60913547262778911</v>
      </c>
      <c r="AI76" s="134">
        <f t="shared" ca="1" si="128"/>
        <v>0.59682202900711157</v>
      </c>
      <c r="AJ76" s="134">
        <f t="shared" ca="1" si="128"/>
        <v>0.59534549818359828</v>
      </c>
      <c r="AK76" s="134">
        <f t="shared" ca="1" si="128"/>
        <v>0.60992237026846696</v>
      </c>
      <c r="AL76" s="134">
        <f t="shared" ca="1" si="128"/>
        <v>0.6464131374421046</v>
      </c>
      <c r="AM76" s="134">
        <f t="shared" ca="1" si="128"/>
        <v>0.63426788215482188</v>
      </c>
      <c r="AN76" s="134">
        <f t="shared" ca="1" si="128"/>
        <v>0.63289587151271842</v>
      </c>
      <c r="AO76" s="134">
        <f t="shared" ca="1" si="128"/>
        <v>0.6483082258225249</v>
      </c>
      <c r="AP76" s="134">
        <f t="shared" ca="1" si="128"/>
        <v>0.6207672623563173</v>
      </c>
      <c r="AQ76" s="134">
        <f t="shared" ca="1" si="128"/>
        <v>0.60796988365562732</v>
      </c>
      <c r="AR76" s="134">
        <f t="shared" ca="1" si="128"/>
        <v>0.60661266774482925</v>
      </c>
      <c r="AS76" s="134">
        <f t="shared" ca="1" si="128"/>
        <v>0.6238811278005052</v>
      </c>
      <c r="AT76" s="134">
        <f t="shared" ca="1" si="128"/>
        <v>0.59482639552515371</v>
      </c>
      <c r="AU76" s="134">
        <f t="shared" ca="1" si="128"/>
        <v>0.58143690638776069</v>
      </c>
      <c r="AV76" s="134">
        <f t="shared" ca="1" si="128"/>
        <v>0.58010371607739297</v>
      </c>
      <c r="AW76" s="134">
        <f t="shared" ca="1" si="128"/>
        <v>0.59919235736309473</v>
      </c>
      <c r="AX76" s="134">
        <f t="shared" ca="1" si="128"/>
        <v>0.5701635959968161</v>
      </c>
      <c r="AY76" s="134">
        <f t="shared" ca="1" si="128"/>
        <v>0.55626072697812901</v>
      </c>
      <c r="AZ76" s="134">
        <f t="shared" ca="1" si="128"/>
        <v>0.55496099290700796</v>
      </c>
      <c r="BA76" s="134">
        <f t="shared" ca="1" si="128"/>
        <v>0.57579032137682817</v>
      </c>
      <c r="BB76" s="8" t="s">
        <v>75</v>
      </c>
    </row>
    <row r="77" spans="1:57" x14ac:dyDescent="0.2">
      <c r="BB77" s="8" t="s">
        <v>75</v>
      </c>
    </row>
    <row r="78" spans="1:57" s="308" customFormat="1" x14ac:dyDescent="0.2">
      <c r="B78" s="308" t="s">
        <v>607</v>
      </c>
      <c r="C78" s="81" t="s">
        <v>201</v>
      </c>
      <c r="V78" s="309">
        <f>+V79+V80+V81</f>
        <v>12800</v>
      </c>
      <c r="W78" s="309">
        <f t="shared" ref="W78:BA78" si="129">+W79+W80+W81</f>
        <v>12800</v>
      </c>
      <c r="X78" s="309">
        <f t="shared" si="129"/>
        <v>12800</v>
      </c>
      <c r="Y78" s="309">
        <f t="shared" si="129"/>
        <v>12800</v>
      </c>
      <c r="Z78" s="309">
        <f t="shared" si="129"/>
        <v>12800</v>
      </c>
      <c r="AA78" s="309">
        <f t="shared" si="129"/>
        <v>12800</v>
      </c>
      <c r="AB78" s="309">
        <f t="shared" si="129"/>
        <v>12800</v>
      </c>
      <c r="AC78" s="309">
        <f t="shared" si="129"/>
        <v>12800</v>
      </c>
      <c r="AD78" s="309">
        <f t="shared" si="129"/>
        <v>12800</v>
      </c>
      <c r="AE78" s="309">
        <f t="shared" si="129"/>
        <v>12800</v>
      </c>
      <c r="AF78" s="309">
        <f t="shared" si="129"/>
        <v>12800</v>
      </c>
      <c r="AG78" s="309">
        <f t="shared" si="129"/>
        <v>12800</v>
      </c>
      <c r="AH78" s="309">
        <f t="shared" si="129"/>
        <v>12800</v>
      </c>
      <c r="AI78" s="309">
        <f t="shared" si="129"/>
        <v>12800</v>
      </c>
      <c r="AJ78" s="309">
        <f t="shared" si="129"/>
        <v>12800</v>
      </c>
      <c r="AK78" s="309">
        <f t="shared" si="129"/>
        <v>12800</v>
      </c>
      <c r="AL78" s="309">
        <f t="shared" si="129"/>
        <v>16800</v>
      </c>
      <c r="AM78" s="309">
        <f t="shared" si="129"/>
        <v>16800</v>
      </c>
      <c r="AN78" s="309">
        <f t="shared" si="129"/>
        <v>16800</v>
      </c>
      <c r="AO78" s="309">
        <f>+AO79+AO80+AO81</f>
        <v>16800</v>
      </c>
      <c r="AP78" s="309">
        <f t="shared" si="129"/>
        <v>16800</v>
      </c>
      <c r="AQ78" s="309">
        <f t="shared" si="129"/>
        <v>16800</v>
      </c>
      <c r="AR78" s="309">
        <f t="shared" si="129"/>
        <v>16800</v>
      </c>
      <c r="AS78" s="309">
        <f t="shared" si="129"/>
        <v>16800</v>
      </c>
      <c r="AT78" s="309">
        <f t="shared" si="129"/>
        <v>16800</v>
      </c>
      <c r="AU78" s="309">
        <f t="shared" si="129"/>
        <v>16800</v>
      </c>
      <c r="AV78" s="309">
        <f t="shared" si="129"/>
        <v>16800</v>
      </c>
      <c r="AW78" s="309">
        <f t="shared" si="129"/>
        <v>16800</v>
      </c>
      <c r="AX78" s="309">
        <f t="shared" si="129"/>
        <v>16800</v>
      </c>
      <c r="AY78" s="309">
        <f t="shared" si="129"/>
        <v>16800</v>
      </c>
      <c r="AZ78" s="309">
        <f t="shared" si="129"/>
        <v>16800</v>
      </c>
      <c r="BA78" s="309">
        <f t="shared" si="129"/>
        <v>16800</v>
      </c>
      <c r="BB78" s="8" t="s">
        <v>75</v>
      </c>
    </row>
    <row r="79" spans="1:57" s="17" customFormat="1" x14ac:dyDescent="0.2">
      <c r="B79" s="17" t="s">
        <v>608</v>
      </c>
      <c r="C79" s="81" t="s">
        <v>201</v>
      </c>
      <c r="V79" s="12">
        <v>6100</v>
      </c>
      <c r="W79" s="12">
        <v>6100</v>
      </c>
      <c r="X79" s="12">
        <v>6100</v>
      </c>
      <c r="Y79" s="12">
        <v>6100</v>
      </c>
      <c r="Z79" s="12">
        <v>6100</v>
      </c>
      <c r="AA79" s="12">
        <v>6100</v>
      </c>
      <c r="AB79" s="12">
        <v>6100</v>
      </c>
      <c r="AC79" s="12">
        <v>6100</v>
      </c>
      <c r="AD79" s="163">
        <f>+AC79</f>
        <v>6100</v>
      </c>
      <c r="AE79" s="163">
        <f t="shared" ref="AE79:BA79" si="130">+AD79</f>
        <v>6100</v>
      </c>
      <c r="AF79" s="163">
        <f t="shared" si="130"/>
        <v>6100</v>
      </c>
      <c r="AG79" s="163">
        <f t="shared" si="130"/>
        <v>6100</v>
      </c>
      <c r="AH79" s="163">
        <f t="shared" si="130"/>
        <v>6100</v>
      </c>
      <c r="AI79" s="163">
        <f t="shared" si="130"/>
        <v>6100</v>
      </c>
      <c r="AJ79" s="163">
        <f t="shared" si="130"/>
        <v>6100</v>
      </c>
      <c r="AK79" s="163">
        <f t="shared" si="130"/>
        <v>6100</v>
      </c>
      <c r="AL79" s="163">
        <f t="shared" si="130"/>
        <v>6100</v>
      </c>
      <c r="AM79" s="163">
        <f t="shared" si="130"/>
        <v>6100</v>
      </c>
      <c r="AN79" s="163">
        <f t="shared" si="130"/>
        <v>6100</v>
      </c>
      <c r="AO79" s="163">
        <f t="shared" si="130"/>
        <v>6100</v>
      </c>
      <c r="AP79" s="163">
        <f t="shared" si="130"/>
        <v>6100</v>
      </c>
      <c r="AQ79" s="163">
        <f t="shared" si="130"/>
        <v>6100</v>
      </c>
      <c r="AR79" s="163">
        <f t="shared" si="130"/>
        <v>6100</v>
      </c>
      <c r="AS79" s="163">
        <f t="shared" si="130"/>
        <v>6100</v>
      </c>
      <c r="AT79" s="163">
        <f t="shared" si="130"/>
        <v>6100</v>
      </c>
      <c r="AU79" s="163">
        <f t="shared" si="130"/>
        <v>6100</v>
      </c>
      <c r="AV79" s="163">
        <f t="shared" si="130"/>
        <v>6100</v>
      </c>
      <c r="AW79" s="163">
        <f t="shared" si="130"/>
        <v>6100</v>
      </c>
      <c r="AX79" s="163">
        <f t="shared" si="130"/>
        <v>6100</v>
      </c>
      <c r="AY79" s="163">
        <f t="shared" si="130"/>
        <v>6100</v>
      </c>
      <c r="AZ79" s="163">
        <f t="shared" si="130"/>
        <v>6100</v>
      </c>
      <c r="BA79" s="163">
        <f t="shared" si="130"/>
        <v>6100</v>
      </c>
      <c r="BB79" s="8" t="s">
        <v>75</v>
      </c>
    </row>
    <row r="80" spans="1:57" s="17" customFormat="1" x14ac:dyDescent="0.2">
      <c r="B80" s="17" t="s">
        <v>609</v>
      </c>
      <c r="C80" s="81" t="s">
        <v>201</v>
      </c>
      <c r="V80" s="12">
        <v>6700</v>
      </c>
      <c r="W80" s="12">
        <v>6700</v>
      </c>
      <c r="X80" s="12">
        <v>6700</v>
      </c>
      <c r="Y80" s="12">
        <v>6700</v>
      </c>
      <c r="Z80" s="12">
        <v>6700</v>
      </c>
      <c r="AA80" s="12">
        <v>6700</v>
      </c>
      <c r="AB80" s="12">
        <v>6700</v>
      </c>
      <c r="AC80" s="12">
        <v>6700</v>
      </c>
      <c r="AD80" s="163">
        <f>+AC80</f>
        <v>6700</v>
      </c>
      <c r="AE80" s="163">
        <f t="shared" ref="AE80:BA80" si="131">+AD80</f>
        <v>6700</v>
      </c>
      <c r="AF80" s="163">
        <f t="shared" si="131"/>
        <v>6700</v>
      </c>
      <c r="AG80" s="163">
        <f t="shared" si="131"/>
        <v>6700</v>
      </c>
      <c r="AH80" s="163">
        <f t="shared" si="131"/>
        <v>6700</v>
      </c>
      <c r="AI80" s="163">
        <f t="shared" si="131"/>
        <v>6700</v>
      </c>
      <c r="AJ80" s="163">
        <f t="shared" si="131"/>
        <v>6700</v>
      </c>
      <c r="AK80" s="163">
        <f t="shared" si="131"/>
        <v>6700</v>
      </c>
      <c r="AL80" s="163">
        <f t="shared" si="131"/>
        <v>6700</v>
      </c>
      <c r="AM80" s="163">
        <f t="shared" si="131"/>
        <v>6700</v>
      </c>
      <c r="AN80" s="163">
        <f t="shared" si="131"/>
        <v>6700</v>
      </c>
      <c r="AO80" s="163">
        <f t="shared" si="131"/>
        <v>6700</v>
      </c>
      <c r="AP80" s="163">
        <f t="shared" si="131"/>
        <v>6700</v>
      </c>
      <c r="AQ80" s="163">
        <f t="shared" si="131"/>
        <v>6700</v>
      </c>
      <c r="AR80" s="163">
        <f t="shared" si="131"/>
        <v>6700</v>
      </c>
      <c r="AS80" s="163">
        <f t="shared" si="131"/>
        <v>6700</v>
      </c>
      <c r="AT80" s="163">
        <f t="shared" si="131"/>
        <v>6700</v>
      </c>
      <c r="AU80" s="163">
        <f t="shared" si="131"/>
        <v>6700</v>
      </c>
      <c r="AV80" s="163">
        <f t="shared" si="131"/>
        <v>6700</v>
      </c>
      <c r="AW80" s="163">
        <f t="shared" si="131"/>
        <v>6700</v>
      </c>
      <c r="AX80" s="163">
        <f t="shared" si="131"/>
        <v>6700</v>
      </c>
      <c r="AY80" s="163">
        <f t="shared" si="131"/>
        <v>6700</v>
      </c>
      <c r="AZ80" s="163">
        <f t="shared" si="131"/>
        <v>6700</v>
      </c>
      <c r="BA80" s="163">
        <f t="shared" si="131"/>
        <v>6700</v>
      </c>
      <c r="BB80" s="8" t="s">
        <v>75</v>
      </c>
    </row>
    <row r="81" spans="2:54" s="17" customFormat="1" x14ac:dyDescent="0.2">
      <c r="B81" s="17" t="s">
        <v>598</v>
      </c>
      <c r="C81" s="81" t="s">
        <v>201</v>
      </c>
      <c r="D81" s="310" t="s">
        <v>611</v>
      </c>
      <c r="V81" s="163">
        <f t="shared" ref="V81:BA81" si="132">+IF(V3=$D81,4000,U81)</f>
        <v>0</v>
      </c>
      <c r="W81" s="163">
        <f t="shared" si="132"/>
        <v>0</v>
      </c>
      <c r="X81" s="163">
        <f t="shared" si="132"/>
        <v>0</v>
      </c>
      <c r="Y81" s="163">
        <f t="shared" si="132"/>
        <v>0</v>
      </c>
      <c r="Z81" s="163">
        <f t="shared" si="132"/>
        <v>0</v>
      </c>
      <c r="AA81" s="163">
        <f t="shared" si="132"/>
        <v>0</v>
      </c>
      <c r="AB81" s="163">
        <f t="shared" si="132"/>
        <v>0</v>
      </c>
      <c r="AC81" s="163">
        <f t="shared" si="132"/>
        <v>0</v>
      </c>
      <c r="AD81" s="163">
        <f t="shared" si="132"/>
        <v>0</v>
      </c>
      <c r="AE81" s="163">
        <f t="shared" si="132"/>
        <v>0</v>
      </c>
      <c r="AF81" s="163">
        <f t="shared" si="132"/>
        <v>0</v>
      </c>
      <c r="AG81" s="163">
        <f t="shared" si="132"/>
        <v>0</v>
      </c>
      <c r="AH81" s="163">
        <f t="shared" si="132"/>
        <v>0</v>
      </c>
      <c r="AI81" s="163">
        <f t="shared" si="132"/>
        <v>0</v>
      </c>
      <c r="AJ81" s="163">
        <f t="shared" si="132"/>
        <v>0</v>
      </c>
      <c r="AK81" s="163">
        <f t="shared" si="132"/>
        <v>0</v>
      </c>
      <c r="AL81" s="163">
        <f t="shared" si="132"/>
        <v>4000</v>
      </c>
      <c r="AM81" s="163">
        <f t="shared" si="132"/>
        <v>4000</v>
      </c>
      <c r="AN81" s="163">
        <f t="shared" si="132"/>
        <v>4000</v>
      </c>
      <c r="AO81" s="163">
        <f t="shared" si="132"/>
        <v>4000</v>
      </c>
      <c r="AP81" s="163">
        <f t="shared" si="132"/>
        <v>4000</v>
      </c>
      <c r="AQ81" s="163">
        <f t="shared" si="132"/>
        <v>4000</v>
      </c>
      <c r="AR81" s="163">
        <f t="shared" si="132"/>
        <v>4000</v>
      </c>
      <c r="AS81" s="163">
        <f t="shared" si="132"/>
        <v>4000</v>
      </c>
      <c r="AT81" s="163">
        <f t="shared" si="132"/>
        <v>4000</v>
      </c>
      <c r="AU81" s="163">
        <f t="shared" si="132"/>
        <v>4000</v>
      </c>
      <c r="AV81" s="163">
        <f t="shared" si="132"/>
        <v>4000</v>
      </c>
      <c r="AW81" s="163">
        <f t="shared" si="132"/>
        <v>4000</v>
      </c>
      <c r="AX81" s="163">
        <f t="shared" si="132"/>
        <v>4000</v>
      </c>
      <c r="AY81" s="163">
        <f t="shared" si="132"/>
        <v>4000</v>
      </c>
      <c r="AZ81" s="163">
        <f t="shared" si="132"/>
        <v>4000</v>
      </c>
      <c r="BA81" s="163">
        <f t="shared" si="132"/>
        <v>4000</v>
      </c>
      <c r="BB81" s="8" t="s">
        <v>75</v>
      </c>
    </row>
    <row r="82" spans="2:54" s="17" customFormat="1" x14ac:dyDescent="0.2">
      <c r="B82" s="307" t="s">
        <v>592</v>
      </c>
      <c r="V82" s="92">
        <f>-V73*1000/V78</f>
        <v>2.5237308512499994</v>
      </c>
      <c r="W82" s="92">
        <f t="shared" ref="W82:AC82" si="133">-W73*1000/W78</f>
        <v>3.2595756439356247</v>
      </c>
      <c r="X82" s="92">
        <f t="shared" si="133"/>
        <v>3.4832900627831251</v>
      </c>
      <c r="Y82" s="92">
        <f t="shared" si="133"/>
        <v>3.6145565832031248</v>
      </c>
      <c r="Z82" s="92">
        <f t="shared" si="133"/>
        <v>3.0951243700781266</v>
      </c>
      <c r="AA82" s="92">
        <f t="shared" si="133"/>
        <v>3.1919828587500341</v>
      </c>
      <c r="AB82" s="92">
        <f t="shared" si="133"/>
        <v>3.1708442806250146</v>
      </c>
      <c r="AC82" s="92">
        <f t="shared" si="133"/>
        <v>3.2285578587499928</v>
      </c>
      <c r="AD82" s="129">
        <f t="shared" ref="AD82:BA82" ca="1" si="134">+Z82*(1+inflation)</f>
        <v>3.2189293448812517</v>
      </c>
      <c r="AE82" s="92">
        <f t="shared" ca="1" si="134"/>
        <v>3.3196621731000358</v>
      </c>
      <c r="AF82" s="92">
        <f t="shared" ca="1" si="134"/>
        <v>3.2976780518500153</v>
      </c>
      <c r="AG82" s="92">
        <f t="shared" ca="1" si="134"/>
        <v>3.3577001730999925</v>
      </c>
      <c r="AH82" s="92">
        <f t="shared" ca="1" si="134"/>
        <v>3.3476865186765017</v>
      </c>
      <c r="AI82" s="92">
        <f t="shared" ca="1" si="134"/>
        <v>3.4524486600240372</v>
      </c>
      <c r="AJ82" s="92">
        <f t="shared" ca="1" si="134"/>
        <v>3.429585173924016</v>
      </c>
      <c r="AK82" s="92">
        <f t="shared" ca="1" si="134"/>
        <v>3.4920081800239924</v>
      </c>
      <c r="AL82" s="92">
        <f t="shared" ca="1" si="134"/>
        <v>3.481593979423562</v>
      </c>
      <c r="AM82" s="92">
        <f t="shared" ca="1" si="134"/>
        <v>3.5905466064249989</v>
      </c>
      <c r="AN82" s="92">
        <f t="shared" ca="1" si="134"/>
        <v>3.5667685808809768</v>
      </c>
      <c r="AO82" s="92">
        <f t="shared" ca="1" si="134"/>
        <v>3.6316885072249523</v>
      </c>
      <c r="AP82" s="92">
        <f t="shared" ca="1" si="134"/>
        <v>3.6208577386005047</v>
      </c>
      <c r="AQ82" s="92">
        <f t="shared" ca="1" si="134"/>
        <v>3.7341684706819991</v>
      </c>
      <c r="AR82" s="92">
        <f t="shared" ca="1" si="134"/>
        <v>3.7094393241162158</v>
      </c>
      <c r="AS82" s="92">
        <f t="shared" ca="1" si="134"/>
        <v>3.7769560475139503</v>
      </c>
      <c r="AT82" s="92">
        <f t="shared" ca="1" si="134"/>
        <v>3.7656920481445249</v>
      </c>
      <c r="AU82" s="92">
        <f t="shared" ca="1" si="134"/>
        <v>3.883535209509279</v>
      </c>
      <c r="AV82" s="92">
        <f t="shared" ca="1" si="134"/>
        <v>3.8578168970808644</v>
      </c>
      <c r="AW82" s="92">
        <f t="shared" ca="1" si="134"/>
        <v>3.9280342894145086</v>
      </c>
      <c r="AX82" s="92">
        <f t="shared" ca="1" si="134"/>
        <v>3.9163197300703061</v>
      </c>
      <c r="AY82" s="92">
        <f t="shared" ca="1" si="134"/>
        <v>4.0388766178896507</v>
      </c>
      <c r="AZ82" s="92">
        <f t="shared" ca="1" si="134"/>
        <v>4.0121295729640991</v>
      </c>
      <c r="BA82" s="92">
        <f t="shared" ca="1" si="134"/>
        <v>4.0851556609910888</v>
      </c>
      <c r="BB82" s="8" t="s">
        <v>75</v>
      </c>
    </row>
    <row r="83" spans="2:54" x14ac:dyDescent="0.2">
      <c r="BB83" s="8" t="s">
        <v>75</v>
      </c>
    </row>
    <row r="84" spans="2:54" x14ac:dyDescent="0.2">
      <c r="B84" s="1" t="s">
        <v>573</v>
      </c>
      <c r="C84" s="45" t="s">
        <v>569</v>
      </c>
      <c r="V84" s="113">
        <f ca="1">+SUMIFS(Cost!$23:$23,Cost!$3:$3,V$3)</f>
        <v>11.363261289071039</v>
      </c>
      <c r="W84" s="113">
        <f ca="1">+SUMIFS(Cost!$23:$23,Cost!$3:$3,W$3)</f>
        <v>12.249625093010749</v>
      </c>
      <c r="X84" s="113">
        <f ca="1">+SUMIFS(Cost!$23:$23,Cost!$3:$3,X$3)</f>
        <v>12.004231075757572</v>
      </c>
      <c r="Y84" s="113">
        <f ca="1">+SUMIFS(Cost!$23:$23,Cost!$3:$3,Y$3)</f>
        <v>12.591259832812499</v>
      </c>
      <c r="Z84" s="113">
        <f ca="1">+SUMIFS(Cost!$23:$23,Cost!$3:$3,Z$3)</f>
        <v>12.951009279569895</v>
      </c>
      <c r="AA84" s="113">
        <f ca="1">+SUMIFS(Cost!$23:$23,Cost!$3:$3,AA$3)</f>
        <v>13.092525113114752</v>
      </c>
      <c r="AB84" s="113">
        <f ca="1">+SUMIFS(Cost!$23:$23,Cost!$3:$3,AB$3)</f>
        <v>13.050497164102559</v>
      </c>
      <c r="AC84" s="113">
        <f ca="1">+SUMIFS(Cost!$23:$23,Cost!$3:$3,AC$3)</f>
        <v>13.318542874074074</v>
      </c>
      <c r="AD84" s="113">
        <f ca="1">+SUMIFS(Cost!$23:$23,Cost!$3:$3,AD$3)</f>
        <v>15.595409298245615</v>
      </c>
      <c r="AE84" s="113">
        <f ca="1">+SUMIFS(Cost!$23:$23,Cost!$3:$3,AE$3)</f>
        <v>16.493287605306797</v>
      </c>
      <c r="AF84" s="113">
        <f ca="1">+SUMIFS(Cost!$23:$23,Cost!$3:$3,AF$3)</f>
        <v>16.741097200172604</v>
      </c>
      <c r="AG84" s="113">
        <f ca="1">+SUMIFS(Cost!$23:$23,Cost!$3:$3,AG$3)</f>
        <v>16.992630103379177</v>
      </c>
      <c r="AH84" s="113">
        <f ca="1">+SUMIFS(Cost!$23:$23,Cost!$3:$3,AH$3)</f>
        <v>17.247942257171246</v>
      </c>
      <c r="AI84" s="113">
        <f ca="1">+SUMIFS(Cost!$23:$23,Cost!$3:$3,AI$3)</f>
        <v>17.507090444318798</v>
      </c>
      <c r="AJ84" s="113">
        <f ca="1">+SUMIFS(Cost!$23:$23,Cost!$3:$3,AJ$3)</f>
        <v>17.770132300745878</v>
      </c>
      <c r="AK84" s="113">
        <f ca="1">+SUMIFS(Cost!$23:$23,Cost!$3:$3,AK$3)</f>
        <v>18.037126328349132</v>
      </c>
      <c r="AL84" s="113">
        <f ca="1">+SUMIFS(Cost!$23:$23,Cost!$3:$3,AL$3)</f>
        <v>18.308131908008903</v>
      </c>
      <c r="AM84" s="113">
        <f ca="1">+SUMIFS(Cost!$23:$23,Cost!$3:$3,AM$3)</f>
        <v>18.583209312795908</v>
      </c>
      <c r="AN84" s="113">
        <f ca="1">+SUMIFS(Cost!$23:$23,Cost!$3:$3,AN$3)</f>
        <v>18.862419721376224</v>
      </c>
      <c r="AO84" s="113">
        <f ca="1">+SUMIFS(Cost!$23:$23,Cost!$3:$3,AO$3)</f>
        <v>19.145825231617799</v>
      </c>
      <c r="AP84" s="113">
        <f ca="1">+SUMIFS(Cost!$23:$23,Cost!$3:$3,AP$3)</f>
        <v>19.433488874401313</v>
      </c>
      <c r="AQ84" s="113">
        <f ca="1">+SUMIFS(Cost!$23:$23,Cost!$3:$3,AQ$3)</f>
        <v>19.72547462763859</v>
      </c>
      <c r="AR84" s="113">
        <f ca="1">+SUMIFS(Cost!$23:$23,Cost!$3:$3,AR$3)</f>
        <v>20.021847430501619</v>
      </c>
      <c r="AS84" s="113">
        <f ca="1">+SUMIFS(Cost!$23:$23,Cost!$3:$3,AS$3)</f>
        <v>20.322673197865377</v>
      </c>
      <c r="AT84" s="113">
        <f ca="1">+SUMIFS(Cost!$23:$23,Cost!$3:$3,AT$3)</f>
        <v>20.628018834967634</v>
      </c>
      <c r="AU84" s="113">
        <f ca="1">+SUMIFS(Cost!$23:$23,Cost!$3:$3,AU$3)</f>
        <v>20.937952252289044</v>
      </c>
      <c r="AV84" s="113">
        <f ca="1">+SUMIFS(Cost!$23:$23,Cost!$3:$3,AV$3)</f>
        <v>21.25254238065677</v>
      </c>
      <c r="AW84" s="113">
        <f ca="1">+SUMIFS(Cost!$23:$23,Cost!$3:$3,AW$3)</f>
        <v>21.571859186575097</v>
      </c>
      <c r="AX84" s="113">
        <f ca="1">+SUMIFS(Cost!$23:$23,Cost!$3:$3,AX$3)</f>
        <v>21.895973687786331</v>
      </c>
      <c r="AY84" s="113">
        <f ca="1">+SUMIFS(Cost!$23:$23,Cost!$3:$3,AY$3)</f>
        <v>22.22495796906551</v>
      </c>
      <c r="AZ84" s="113">
        <f ca="1">+SUMIFS(Cost!$23:$23,Cost!$3:$3,AZ$3)</f>
        <v>22.558885198252465</v>
      </c>
      <c r="BA84" s="113">
        <f ca="1">+SUMIFS(Cost!$23:$23,Cost!$3:$3,BA$3)</f>
        <v>22.897829642524723</v>
      </c>
      <c r="BB84" s="8" t="s">
        <v>75</v>
      </c>
    </row>
    <row r="85" spans="2:54" x14ac:dyDescent="0.2">
      <c r="B85" s="1" t="s">
        <v>570</v>
      </c>
      <c r="C85" s="45" t="s">
        <v>571</v>
      </c>
      <c r="V85" s="63">
        <f ca="1">+(V13+V14)/SUMIFS(Cost!$27:$27,Cost!$3:$3,V$3)/1000</f>
        <v>0.82189951737102906</v>
      </c>
      <c r="W85" s="63">
        <f ca="1">+(W13+W14)/SUMIFS(Cost!$27:$27,Cost!$3:$3,W$3)/1000</f>
        <v>0.7741229330974857</v>
      </c>
      <c r="X85" s="63">
        <f ca="1">+(X13+X14)/SUMIFS(Cost!$27:$27,Cost!$3:$3,X$3)/1000</f>
        <v>1.1360863405655852</v>
      </c>
      <c r="Y85" s="63">
        <f ca="1">+(Y13+Y14)/SUMIFS(Cost!$27:$27,Cost!$3:$3,Y$3)/1000</f>
        <v>0.75967225272421979</v>
      </c>
      <c r="Z85" s="63">
        <f ca="1">+(Z13+Z14)/SUMIFS(Cost!$27:$27,Cost!$3:$3,Z$3)/1000</f>
        <v>1.0789488056951952</v>
      </c>
      <c r="AA85" s="63">
        <f ca="1">+(AA13+AA14)/SUMIFS(Cost!$27:$27,Cost!$3:$3,AA$3)/1000</f>
        <v>1.1993995222982599</v>
      </c>
      <c r="AB85" s="63">
        <f ca="1">+(AB13+AB14)/SUMIFS(Cost!$27:$27,Cost!$3:$3,AB$3)/1000</f>
        <v>1.1753416913906785</v>
      </c>
      <c r="AC85" s="63">
        <f ca="1">+(AC13+AC14)/SUMIFS(Cost!$27:$27,Cost!$3:$3,AC$3)/1000</f>
        <v>0.69439157628210446</v>
      </c>
      <c r="AD85" s="63">
        <f ca="1">+(AD13+AD14)/SUMIFS(Cost!$27:$27,Cost!$3:$3,AD$3)/1000</f>
        <v>1.2389746626726377</v>
      </c>
      <c r="AE85" s="63">
        <f ca="1">+(AE13+AE14)/SUMIFS(Cost!$27:$27,Cost!$3:$3,AE$3)/1000</f>
        <v>1.4245973724209566</v>
      </c>
      <c r="AF85" s="63">
        <f ca="1">+(AF13+AF14)/SUMIFS(Cost!$27:$27,Cost!$3:$3,AF$3)/1000</f>
        <v>1.3860355944478726</v>
      </c>
      <c r="AG85" s="63">
        <f ca="1">+(AG13+AG14)/SUMIFS(Cost!$27:$27,Cost!$3:$3,AG$3)/1000</f>
        <v>0.87835289124932514</v>
      </c>
      <c r="AH85" s="63">
        <f ca="1">+(AH13+AH14)/SUMIFS(Cost!$27:$27,Cost!$3:$3,AH$3)/1000</f>
        <v>1.3649117266580926</v>
      </c>
      <c r="AI85" s="63">
        <f ca="1">+(AI13+AI14)/SUMIFS(Cost!$27:$27,Cost!$3:$3,AI$3)/1000</f>
        <v>1.5694022791307338</v>
      </c>
      <c r="AJ85" s="63">
        <f ca="1">+(AJ13+AJ14)/SUMIFS(Cost!$27:$27,Cost!$3:$3,AJ$3)/1000</f>
        <v>1.5269208430352528</v>
      </c>
      <c r="AK85" s="63">
        <f ca="1">+(AK13+AK14)/SUMIFS(Cost!$27:$27,Cost!$3:$3,AK$3)/1000</f>
        <v>0.9676341232225919</v>
      </c>
      <c r="AL85" s="63">
        <f ca="1">+(AL13+AL14)/SUMIFS(Cost!$27:$27,Cost!$3:$3,AL$3)/1000</f>
        <v>1.5006138465531165</v>
      </c>
      <c r="AM85" s="63">
        <f ca="1">+(AM13+AM14)/SUMIFS(Cost!$27:$27,Cost!$3:$3,AM$3)/1000</f>
        <v>1.72543523868891</v>
      </c>
      <c r="AN85" s="63">
        <f ca="1">+(AN13+AN14)/SUMIFS(Cost!$27:$27,Cost!$3:$3,AN$3)/1000</f>
        <v>1.6787302174181025</v>
      </c>
      <c r="AO85" s="63">
        <f ca="1">+(AO13+AO14)/SUMIFS(Cost!$27:$27,Cost!$3:$3,AO$3)/1000</f>
        <v>1.063838148171204</v>
      </c>
      <c r="AP85" s="63">
        <f ca="1">+(AP13+AP14)/SUMIFS(Cost!$27:$27,Cost!$3:$3,AP$3)/1000</f>
        <v>1.6467569832280409</v>
      </c>
      <c r="AQ85" s="63">
        <f ca="1">+(AQ13+AQ14)/SUMIFS(Cost!$27:$27,Cost!$3:$3,AQ$3)/1000</f>
        <v>1.8934734841646881</v>
      </c>
      <c r="AR85" s="63">
        <f ca="1">+(AR13+AR14)/SUMIFS(Cost!$27:$27,Cost!$3:$3,AR$3)/1000</f>
        <v>1.8422199120973759</v>
      </c>
      <c r="AS85" s="63">
        <f ca="1">+(AS13+AS14)/SUMIFS(Cost!$27:$27,Cost!$3:$3,AS$3)/1000</f>
        <v>1.1674441786268743</v>
      </c>
      <c r="AT85" s="63">
        <f ca="1">+(AT13+AT14)/SUMIFS(Cost!$27:$27,Cost!$3:$3,AT$3)/1000</f>
        <v>1.8040610412756994</v>
      </c>
      <c r="AU85" s="63">
        <f ca="1">+(AU13+AU14)/SUMIFS(Cost!$27:$27,Cost!$3:$3,AU$3)/1000</f>
        <v>2.0743447759814595</v>
      </c>
      <c r="AV85" s="63">
        <f ca="1">+(AV13+AV14)/SUMIFS(Cost!$27:$27,Cost!$3:$3,AV$3)/1000</f>
        <v>2.0181952812262582</v>
      </c>
      <c r="AW85" s="63">
        <f ca="1">+(AW13+AW14)/SUMIFS(Cost!$27:$27,Cost!$3:$3,AW$3)/1000</f>
        <v>1.2789625803780162</v>
      </c>
      <c r="AX85" s="63">
        <f ca="1">+(AX13+AX14)/SUMIFS(Cost!$27:$27,Cost!$3:$3,AX$3)/1000</f>
        <v>1.9616904744462997</v>
      </c>
      <c r="AY85" s="63">
        <f ca="1">+(AY13+AY14)/SUMIFS(Cost!$27:$27,Cost!$3:$3,AY$3)/1000</f>
        <v>2.2555901904975548</v>
      </c>
      <c r="AZ85" s="63">
        <f ca="1">+(AZ13+AZ14)/SUMIFS(Cost!$27:$27,Cost!$3:$3,AZ$3)/1000</f>
        <v>2.1945346460973707</v>
      </c>
      <c r="BA85" s="63">
        <f ca="1">+(BA13+BA14)/SUMIFS(Cost!$27:$27,Cost!$3:$3,BA$3)/1000</f>
        <v>1.3907116520440375</v>
      </c>
      <c r="BB85" s="8" t="s">
        <v>75</v>
      </c>
    </row>
    <row r="86" spans="2:54" x14ac:dyDescent="0.2">
      <c r="B86" s="1" t="s">
        <v>572</v>
      </c>
      <c r="C86" s="45" t="s">
        <v>187</v>
      </c>
      <c r="V86" s="11">
        <f ca="1">-V84*V85</f>
        <v>-9.3394589692483851</v>
      </c>
      <c r="W86" s="11">
        <f t="shared" ref="W86:AD86" ca="1" si="135">-W84*W85</f>
        <v>-9.4827157063460419</v>
      </c>
      <c r="X86" s="11">
        <f t="shared" ca="1" si="135"/>
        <v>-13.637842954161098</v>
      </c>
      <c r="Y86" s="11">
        <f t="shared" ca="1" si="135"/>
        <v>-9.5652307218286534</v>
      </c>
      <c r="Z86" s="11">
        <f t="shared" ca="1" si="135"/>
        <v>-13.97347599473933</v>
      </c>
      <c r="AA86" s="11">
        <f t="shared" ca="1" si="135"/>
        <v>-15.703168366347803</v>
      </c>
      <c r="AB86" s="11">
        <f t="shared" ca="1" si="135"/>
        <v>-15.338793410345554</v>
      </c>
      <c r="AC86" s="11">
        <f t="shared" ca="1" si="135"/>
        <v>-9.2482839801090861</v>
      </c>
      <c r="AD86" s="11">
        <f t="shared" ca="1" si="135"/>
        <v>-19.322316974535578</v>
      </c>
      <c r="AE86" s="11">
        <f t="shared" ref="AE86" ca="1" si="136">-AE84*AE85</f>
        <v>-23.496294185103196</v>
      </c>
      <c r="AF86" s="11">
        <f t="shared" ref="AF86" ca="1" si="137">-AF84*AF85</f>
        <v>-23.203756609550851</v>
      </c>
      <c r="AG86" s="11">
        <f t="shared" ref="AG86" ca="1" si="138">-AG84*AG85</f>
        <v>-14.92552578123342</v>
      </c>
      <c r="AH86" s="11">
        <f t="shared" ref="AH86" ca="1" si="139">-AH84*AH85</f>
        <v>-23.541918647534683</v>
      </c>
      <c r="AI86" s="11">
        <f t="shared" ref="AI86" ca="1" si="140">-AI84*AI85</f>
        <v>-27.475667644261815</v>
      </c>
      <c r="AJ86" s="11">
        <f t="shared" ref="AJ86" ca="1" si="141">-AJ84*AJ85</f>
        <v>-27.133585393502873</v>
      </c>
      <c r="AK86" s="11">
        <f t="shared" ref="AK86" ca="1" si="142">-AK84*AK85</f>
        <v>-17.453338920187239</v>
      </c>
      <c r="AL86" s="11">
        <f t="shared" ref="AL86" ca="1" si="143">-AL84*AL85</f>
        <v>-27.473436245679089</v>
      </c>
      <c r="AM86" s="11">
        <f t="shared" ref="AM86" ca="1" si="144">-AM84*AM85</f>
        <v>-32.064124196229983</v>
      </c>
      <c r="AN86" s="11">
        <f t="shared" ref="AN86" ca="1" si="145">-AN84*AN85</f>
        <v>-31.664913959897412</v>
      </c>
      <c r="AO86" s="11">
        <f t="shared" ref="AO86" ca="1" si="146">-AO84*AO85</f>
        <v>-20.368059259613794</v>
      </c>
      <c r="AP86" s="11">
        <f t="shared" ref="AP86" ca="1" si="147">-AP84*AP85</f>
        <v>-32.0022335124048</v>
      </c>
      <c r="AQ86" s="11">
        <f t="shared" ref="AQ86" ca="1" si="148">-AQ84*AQ85</f>
        <v>-37.349663169996994</v>
      </c>
      <c r="AR86" s="11">
        <f t="shared" ref="AR86" ca="1" si="149">-AR84*AR85</f>
        <v>-36.884646013445767</v>
      </c>
      <c r="AS86" s="11">
        <f t="shared" ref="AS86" ca="1" si="150">-AS84*AS85</f>
        <v>-23.72558651898434</v>
      </c>
      <c r="AT86" s="11">
        <f t="shared" ref="AT86" ca="1" si="151">-AT84*AT85</f>
        <v>-37.214205138866447</v>
      </c>
      <c r="AU86" s="11">
        <f t="shared" ref="AU86" ca="1" si="152">-AU84*AU85</f>
        <v>-43.432531874285011</v>
      </c>
      <c r="AV86" s="11">
        <f t="shared" ref="AV86" ca="1" si="153">-AV84*AV85</f>
        <v>-42.891780746702565</v>
      </c>
      <c r="AW86" s="11">
        <f t="shared" ref="AW86" ca="1" si="154">-AW84*AW85</f>
        <v>-27.589600688813299</v>
      </c>
      <c r="AX86" s="11">
        <f t="shared" ref="AX86" ca="1" si="155">-AX84*AX85</f>
        <v>-42.953123012057262</v>
      </c>
      <c r="AY86" s="11">
        <f t="shared" ref="AY86" ca="1" si="156">-AY84*AY85</f>
        <v>-50.130397179244625</v>
      </c>
      <c r="AZ86" s="11">
        <f t="shared" ref="AZ86" ca="1" si="157">-AZ84*AZ85</f>
        <v>-49.506255144898191</v>
      </c>
      <c r="BA86" s="11">
        <f t="shared" ref="BA86" ca="1" si="158">-BA84*BA85</f>
        <v>-31.844278490378489</v>
      </c>
      <c r="BB86" s="8" t="s">
        <v>75</v>
      </c>
    </row>
    <row r="87" spans="2:54" x14ac:dyDescent="0.2">
      <c r="B87" s="1" t="s">
        <v>574</v>
      </c>
      <c r="C87" s="45" t="s">
        <v>187</v>
      </c>
      <c r="V87" s="11">
        <f t="shared" ref="V87:AC87" ca="1" si="159">+V74-V86</f>
        <v>-4.5050074147516153</v>
      </c>
      <c r="W87" s="11">
        <f t="shared" ca="1" si="159"/>
        <v>-8.3983849689579628</v>
      </c>
      <c r="X87" s="11">
        <f t="shared" ca="1" si="159"/>
        <v>-5.4704911045349114</v>
      </c>
      <c r="Y87" s="11">
        <f t="shared" ca="1" si="159"/>
        <v>-10.263193963171348</v>
      </c>
      <c r="Z87" s="11">
        <f t="shared" ca="1" si="159"/>
        <v>-3.0054919782606806</v>
      </c>
      <c r="AA87" s="11">
        <f t="shared" ca="1" si="159"/>
        <v>-1.8071376016523928</v>
      </c>
      <c r="AB87" s="11">
        <f t="shared" ca="1" si="159"/>
        <v>-2.0555523576545252</v>
      </c>
      <c r="AC87" s="11">
        <f t="shared" ca="1" si="159"/>
        <v>-8.4626619878908755</v>
      </c>
      <c r="AD87" s="11">
        <f t="shared" ref="AD87:BA87" ca="1" si="160">-AD89*(AD13+AD14)/1000</f>
        <v>-3.4510673748480678</v>
      </c>
      <c r="AE87" s="11">
        <f t="shared" ca="1" si="160"/>
        <v>-2.0750524919161273</v>
      </c>
      <c r="AF87" s="11">
        <f t="shared" ca="1" si="160"/>
        <v>-2.3602956621094915</v>
      </c>
      <c r="AG87" s="11">
        <f t="shared" ca="1" si="160"/>
        <v>-9.7172831942404798</v>
      </c>
      <c r="AH87" s="11">
        <f t="shared" ca="1" si="160"/>
        <v>-3.9539294629533077</v>
      </c>
      <c r="AI87" s="11">
        <f t="shared" ca="1" si="160"/>
        <v>-2.3774126360900332</v>
      </c>
      <c r="AJ87" s="11">
        <f t="shared" ca="1" si="160"/>
        <v>-2.7042191722224675</v>
      </c>
      <c r="AK87" s="11">
        <f t="shared" ca="1" si="160"/>
        <v>-11.133208410125569</v>
      </c>
      <c r="AL87" s="11">
        <f t="shared" ca="1" si="160"/>
        <v>-4.5209181164606402</v>
      </c>
      <c r="AM87" s="11">
        <f t="shared" ca="1" si="160"/>
        <v>-2.7183307030403649</v>
      </c>
      <c r="AN87" s="11">
        <f t="shared" ca="1" si="160"/>
        <v>-3.0920008971149215</v>
      </c>
      <c r="AO87" s="11">
        <f t="shared" ca="1" si="160"/>
        <v>-12.729696891980952</v>
      </c>
      <c r="AP87" s="11">
        <f t="shared" ca="1" si="160"/>
        <v>-5.1596535883124055</v>
      </c>
      <c r="AQ87" s="11">
        <f t="shared" ca="1" si="160"/>
        <v>-3.1023885867551333</v>
      </c>
      <c r="AR87" s="11">
        <f t="shared" ca="1" si="160"/>
        <v>-3.5288525721748885</v>
      </c>
      <c r="AS87" s="11">
        <f t="shared" ca="1" si="160"/>
        <v>-14.528205235059497</v>
      </c>
      <c r="AT87" s="11">
        <f t="shared" ca="1" si="160"/>
        <v>-5.8786228476666027</v>
      </c>
      <c r="AU87" s="11">
        <f t="shared" ca="1" si="160"/>
        <v>-3.5346893190176276</v>
      </c>
      <c r="AV87" s="11">
        <f t="shared" ca="1" si="160"/>
        <v>-4.0205787078080695</v>
      </c>
      <c r="AW87" s="11">
        <f t="shared" ca="1" si="160"/>
        <v>-16.552630475788288</v>
      </c>
      <c r="AX87" s="11">
        <f t="shared" ca="1" si="160"/>
        <v>-6.6479568631305064</v>
      </c>
      <c r="AY87" s="11">
        <f t="shared" ca="1" si="160"/>
        <v>-3.9972732944969516</v>
      </c>
      <c r="AZ87" s="11">
        <f t="shared" ca="1" si="160"/>
        <v>-4.5467509154696684</v>
      </c>
      <c r="BA87" s="11">
        <f t="shared" ca="1" si="160"/>
        <v>-18.71886940630295</v>
      </c>
      <c r="BB87" s="8" t="s">
        <v>75</v>
      </c>
    </row>
    <row r="88" spans="2:54" x14ac:dyDescent="0.2">
      <c r="BB88" s="8" t="s">
        <v>75</v>
      </c>
    </row>
    <row r="89" spans="2:54" x14ac:dyDescent="0.2">
      <c r="B89" s="1" t="s">
        <v>582</v>
      </c>
      <c r="C89" s="45" t="s">
        <v>338</v>
      </c>
      <c r="D89" s="25"/>
      <c r="V89" s="92">
        <f t="shared" ref="V89:AC89" ca="1" si="161">-V87*1000/(V13+V14)</f>
        <v>5.3288898013327088</v>
      </c>
      <c r="W89" s="92">
        <f t="shared" ca="1" si="161"/>
        <v>9.0625424553400098</v>
      </c>
      <c r="X89" s="92">
        <f t="shared" ca="1" si="161"/>
        <v>3.8440930199188439</v>
      </c>
      <c r="Y89" s="92">
        <f t="shared" ca="1" si="161"/>
        <v>15.240826318866329</v>
      </c>
      <c r="Z89" s="92">
        <f t="shared" ca="1" si="161"/>
        <v>2.4995576721376214</v>
      </c>
      <c r="AA89" s="92">
        <f t="shared" ca="1" si="161"/>
        <v>1.0812916762088085</v>
      </c>
      <c r="AB89" s="92">
        <f t="shared" ca="1" si="161"/>
        <v>1.2181871449243975</v>
      </c>
      <c r="AC89" s="92">
        <f t="shared" ca="1" si="161"/>
        <v>10.252261609121867</v>
      </c>
      <c r="AD89" s="129">
        <f ca="1">+Z89*(1+AD90)</f>
        <v>2.5995399790231262</v>
      </c>
      <c r="AE89" s="92">
        <f t="shared" ref="AE89:BA89" ca="1" si="162">+AA89*(1+AE90)</f>
        <v>1.124543343257161</v>
      </c>
      <c r="AF89" s="92">
        <f t="shared" ca="1" si="162"/>
        <v>1.2669146307213734</v>
      </c>
      <c r="AG89" s="92">
        <f t="shared" ca="1" si="162"/>
        <v>10.662352073486742</v>
      </c>
      <c r="AH89" s="92">
        <f t="shared" ca="1" si="162"/>
        <v>2.7035215781840511</v>
      </c>
      <c r="AI89" s="92">
        <f t="shared" ca="1" si="162"/>
        <v>1.1695250769874475</v>
      </c>
      <c r="AJ89" s="92">
        <f t="shared" ca="1" si="162"/>
        <v>1.3175912159502283</v>
      </c>
      <c r="AK89" s="92">
        <f t="shared" ca="1" si="162"/>
        <v>11.088846156426213</v>
      </c>
      <c r="AL89" s="92">
        <f t="shared" ca="1" si="162"/>
        <v>2.8116624413114133</v>
      </c>
      <c r="AM89" s="92">
        <f t="shared" ca="1" si="162"/>
        <v>1.2163060800669454</v>
      </c>
      <c r="AN89" s="92">
        <f t="shared" ca="1" si="162"/>
        <v>1.3702948645882376</v>
      </c>
      <c r="AO89" s="92">
        <f t="shared" ca="1" si="162"/>
        <v>11.532400002683261</v>
      </c>
      <c r="AP89" s="92">
        <f t="shared" ca="1" si="162"/>
        <v>2.9241289389638698</v>
      </c>
      <c r="AQ89" s="92">
        <f t="shared" ca="1" si="162"/>
        <v>1.2649583232696233</v>
      </c>
      <c r="AR89" s="92">
        <f t="shared" ca="1" si="162"/>
        <v>1.4251066591717672</v>
      </c>
      <c r="AS89" s="92">
        <f t="shared" ca="1" si="162"/>
        <v>11.993696002790591</v>
      </c>
      <c r="AT89" s="92">
        <f t="shared" ca="1" si="162"/>
        <v>3.0410940965224249</v>
      </c>
      <c r="AU89" s="92">
        <f t="shared" ca="1" si="162"/>
        <v>1.3155566562004084</v>
      </c>
      <c r="AV89" s="92">
        <f t="shared" ca="1" si="162"/>
        <v>1.482110925538638</v>
      </c>
      <c r="AW89" s="92">
        <f t="shared" ca="1" si="162"/>
        <v>12.473443842902215</v>
      </c>
      <c r="AX89" s="92">
        <f t="shared" ca="1" si="162"/>
        <v>3.1627378603833218</v>
      </c>
      <c r="AY89" s="92">
        <f t="shared" ca="1" si="162"/>
        <v>1.3681789224484249</v>
      </c>
      <c r="AZ89" s="92">
        <f t="shared" ca="1" si="162"/>
        <v>1.5413953625601835</v>
      </c>
      <c r="BA89" s="92">
        <f t="shared" ca="1" si="162"/>
        <v>12.972381596618304</v>
      </c>
      <c r="BB89" s="8" t="s">
        <v>75</v>
      </c>
    </row>
    <row r="90" spans="2:54" s="25" customFormat="1" x14ac:dyDescent="0.2">
      <c r="B90" s="26" t="s">
        <v>575</v>
      </c>
      <c r="C90" s="116" t="s">
        <v>177</v>
      </c>
      <c r="V90" s="280"/>
      <c r="W90" s="281"/>
      <c r="X90" s="281"/>
      <c r="Y90" s="281"/>
      <c r="Z90" s="30">
        <f t="shared" ref="Z90" ca="1" si="163">+Z89/V89-1</f>
        <v>-0.53094213516809752</v>
      </c>
      <c r="AA90" s="30">
        <f t="shared" ref="AA90:AB90" ca="1" si="164">+AA89/W89-1</f>
        <v>-0.88068561537367818</v>
      </c>
      <c r="AB90" s="30">
        <f t="shared" ca="1" si="164"/>
        <v>-0.68310154342984242</v>
      </c>
      <c r="AC90" s="30">
        <f ca="1">+AC89/Y89-1</f>
        <v>-0.32731589517355852</v>
      </c>
      <c r="AD90" s="86">
        <f ca="1">+SUMIFS(Drivers!$24:$24,Drivers!$3:$3,North!AD$3)</f>
        <v>0.04</v>
      </c>
      <c r="AE90" s="86">
        <f ca="1">+SUMIFS(Drivers!$24:$24,Drivers!$3:$3,North!AE$3)</f>
        <v>0.04</v>
      </c>
      <c r="AF90" s="86">
        <f ca="1">+SUMIFS(Drivers!$24:$24,Drivers!$3:$3,North!AF$3)</f>
        <v>0.04</v>
      </c>
      <c r="AG90" s="86">
        <f ca="1">+SUMIFS(Drivers!$24:$24,Drivers!$3:$3,North!AG$3)</f>
        <v>0.04</v>
      </c>
      <c r="AH90" s="86">
        <f ca="1">+SUMIFS(Drivers!$24:$24,Drivers!$3:$3,North!AH$3)</f>
        <v>0.04</v>
      </c>
      <c r="AI90" s="86">
        <f ca="1">+SUMIFS(Drivers!$24:$24,Drivers!$3:$3,North!AI$3)</f>
        <v>0.04</v>
      </c>
      <c r="AJ90" s="86">
        <f ca="1">+SUMIFS(Drivers!$24:$24,Drivers!$3:$3,North!AJ$3)</f>
        <v>0.04</v>
      </c>
      <c r="AK90" s="86">
        <f ca="1">+SUMIFS(Drivers!$24:$24,Drivers!$3:$3,North!AK$3)</f>
        <v>0.04</v>
      </c>
      <c r="AL90" s="86">
        <f ca="1">+SUMIFS(Drivers!$24:$24,Drivers!$3:$3,North!AL$3)</f>
        <v>0.04</v>
      </c>
      <c r="AM90" s="86">
        <f ca="1">+SUMIFS(Drivers!$24:$24,Drivers!$3:$3,North!AM$3)</f>
        <v>0.04</v>
      </c>
      <c r="AN90" s="86">
        <f ca="1">+SUMIFS(Drivers!$24:$24,Drivers!$3:$3,North!AN$3)</f>
        <v>0.04</v>
      </c>
      <c r="AO90" s="86">
        <f ca="1">+SUMIFS(Drivers!$24:$24,Drivers!$3:$3,North!AO$3)</f>
        <v>0.04</v>
      </c>
      <c r="AP90" s="86">
        <f ca="1">+SUMIFS(Drivers!$24:$24,Drivers!$3:$3,North!AP$3)</f>
        <v>0.04</v>
      </c>
      <c r="AQ90" s="86">
        <f ca="1">+SUMIFS(Drivers!$24:$24,Drivers!$3:$3,North!AQ$3)</f>
        <v>0.04</v>
      </c>
      <c r="AR90" s="86">
        <f ca="1">+SUMIFS(Drivers!$24:$24,Drivers!$3:$3,North!AR$3)</f>
        <v>0.04</v>
      </c>
      <c r="AS90" s="86">
        <f ca="1">+SUMIFS(Drivers!$24:$24,Drivers!$3:$3,North!AS$3)</f>
        <v>0.04</v>
      </c>
      <c r="AT90" s="86">
        <f ca="1">+SUMIFS(Drivers!$24:$24,Drivers!$3:$3,North!AT$3)</f>
        <v>0.04</v>
      </c>
      <c r="AU90" s="86">
        <f ca="1">+SUMIFS(Drivers!$24:$24,Drivers!$3:$3,North!AU$3)</f>
        <v>0.04</v>
      </c>
      <c r="AV90" s="86">
        <f ca="1">+SUMIFS(Drivers!$24:$24,Drivers!$3:$3,North!AV$3)</f>
        <v>0.04</v>
      </c>
      <c r="AW90" s="86">
        <f ca="1">+SUMIFS(Drivers!$24:$24,Drivers!$3:$3,North!AW$3)</f>
        <v>0.04</v>
      </c>
      <c r="AX90" s="86">
        <f ca="1">+SUMIFS(Drivers!$24:$24,Drivers!$3:$3,North!AX$3)</f>
        <v>0.04</v>
      </c>
      <c r="AY90" s="86">
        <f ca="1">+SUMIFS(Drivers!$24:$24,Drivers!$3:$3,North!AY$3)</f>
        <v>0.04</v>
      </c>
      <c r="AZ90" s="86">
        <f ca="1">+SUMIFS(Drivers!$24:$24,Drivers!$3:$3,North!AZ$3)</f>
        <v>0.04</v>
      </c>
      <c r="BA90" s="86">
        <f ca="1">+SUMIFS(Drivers!$24:$24,Drivers!$3:$3,North!BA$3)</f>
        <v>0.04</v>
      </c>
      <c r="BB90" s="88" t="s">
        <v>75</v>
      </c>
    </row>
    <row r="91" spans="2:54" x14ac:dyDescent="0.2">
      <c r="C91" s="45"/>
      <c r="V91" s="92"/>
      <c r="W91" s="39"/>
      <c r="X91" s="39"/>
      <c r="Y91" s="39"/>
      <c r="Z91" s="39"/>
      <c r="AA91" s="39"/>
      <c r="AB91" s="39"/>
      <c r="AC91" s="39"/>
      <c r="AD91" s="92"/>
      <c r="BB91" s="8" t="s">
        <v>75</v>
      </c>
    </row>
    <row r="92" spans="2:54" x14ac:dyDescent="0.2">
      <c r="V92" s="11"/>
    </row>
    <row r="93" spans="2:54" x14ac:dyDescent="0.2">
      <c r="C93" s="45"/>
      <c r="W93" s="69"/>
      <c r="X93" s="69"/>
      <c r="Y93" s="69"/>
      <c r="Z93" s="69"/>
      <c r="AA93" s="69"/>
      <c r="AB93" s="69"/>
      <c r="AC93" s="69"/>
      <c r="AD93" s="69"/>
    </row>
    <row r="94" spans="2:54" x14ac:dyDescent="0.2">
      <c r="C94" s="45"/>
      <c r="W94" s="69"/>
      <c r="X94" s="69"/>
      <c r="Y94" s="69"/>
      <c r="Z94" s="69"/>
      <c r="AA94" s="69"/>
      <c r="AB94" s="69"/>
      <c r="AC94" s="69"/>
      <c r="AD94" s="69"/>
    </row>
    <row r="95" spans="2:54" x14ac:dyDescent="0.2">
      <c r="G95" s="11"/>
      <c r="H95" s="11"/>
      <c r="I95" s="11"/>
      <c r="J95" s="11"/>
      <c r="K95" s="11"/>
      <c r="L95" s="11"/>
      <c r="M95" s="11"/>
      <c r="N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</row>
    <row r="96" spans="2:54" x14ac:dyDescent="0.2">
      <c r="G96" s="11"/>
      <c r="H96" s="11"/>
      <c r="I96" s="11"/>
      <c r="J96" s="11"/>
      <c r="K96" s="11"/>
      <c r="L96" s="11"/>
      <c r="M96" s="11"/>
      <c r="N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</row>
    <row r="97" spans="7:53" x14ac:dyDescent="0.2">
      <c r="G97" s="11"/>
      <c r="H97" s="11"/>
      <c r="I97" s="11"/>
      <c r="J97" s="11"/>
      <c r="K97" s="11"/>
      <c r="L97" s="11"/>
      <c r="M97" s="11"/>
      <c r="N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</row>
    <row r="99" spans="7:53" x14ac:dyDescent="0.2">
      <c r="G99" s="134"/>
      <c r="H99" s="134"/>
      <c r="I99" s="134"/>
      <c r="J99" s="134"/>
      <c r="K99" s="134"/>
      <c r="L99" s="134"/>
      <c r="M99" s="134"/>
      <c r="N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</row>
    <row r="100" spans="7:53" x14ac:dyDescent="0.2">
      <c r="G100" s="134"/>
      <c r="H100" s="134"/>
      <c r="I100" s="134"/>
      <c r="J100" s="134"/>
      <c r="K100" s="134"/>
      <c r="L100" s="134"/>
      <c r="M100" s="134"/>
      <c r="N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</row>
  </sheetData>
  <conditionalFormatting sqref="C1">
    <cfRule type="cellIs" dxfId="21" priority="2" operator="equal">
      <formula>"OK"</formula>
    </cfRule>
  </conditionalFormatting>
  <conditionalFormatting sqref="C1">
    <cfRule type="cellIs" dxfId="20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ACC2-D7D2-4C10-8562-38E0E79065A6}">
  <sheetPr>
    <tabColor theme="5" tint="0.79998168889431442"/>
  </sheetPr>
  <dimension ref="A1:BE124"/>
  <sheetViews>
    <sheetView zoomScale="85" zoomScaleNormal="85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defaultRowHeight="12.75" outlineLevelRow="1" outlineLevelCol="1" x14ac:dyDescent="0.2"/>
  <cols>
    <col min="1" max="1" width="2.42578125" style="1" customWidth="1"/>
    <col min="2" max="2" width="33" style="1" customWidth="1"/>
    <col min="3" max="4" width="9.140625" style="1"/>
    <col min="5" max="6" width="9.140625" style="1" customWidth="1" outlineLevel="1"/>
    <col min="7" max="14" width="9.140625" style="1"/>
    <col min="15" max="15" width="2.7109375" style="1" customWidth="1"/>
    <col min="16" max="16" width="9.140625" style="1"/>
    <col min="17" max="17" width="2.7109375" style="1" customWidth="1"/>
    <col min="18" max="21" width="9.140625" style="1" hidden="1" customWidth="1" outlineLevel="1"/>
    <col min="22" max="22" width="9.140625" style="1" collapsed="1"/>
    <col min="23" max="53" width="9.140625" style="1"/>
    <col min="54" max="54" width="3.42578125" style="1" customWidth="1"/>
    <col min="55" max="16384" width="9.140625" style="1"/>
  </cols>
  <sheetData>
    <row r="1" spans="1:57" s="4" customFormat="1" ht="16.5" x14ac:dyDescent="0.3">
      <c r="A1" s="213" t="str">
        <f ca="1">Ctrl!$G$7</f>
        <v>Base</v>
      </c>
      <c r="C1" s="8" t="str">
        <f ca="1">+IF(Financials!$C$164=0,"OK","CHECK")</f>
        <v>OK</v>
      </c>
      <c r="D1" s="212">
        <f ca="1">+Ctrl!$G$9</f>
        <v>7.9261321941756702</v>
      </c>
    </row>
    <row r="2" spans="1:57" s="5" customFormat="1" ht="16.5" x14ac:dyDescent="0.3">
      <c r="A2" s="6" t="s">
        <v>244</v>
      </c>
      <c r="D2" s="211">
        <f ca="1">+Ctrl!G10</f>
        <v>0.32102203236261162</v>
      </c>
    </row>
    <row r="3" spans="1:57" x14ac:dyDescent="0.2">
      <c r="A3" s="1" t="s">
        <v>1</v>
      </c>
      <c r="E3" s="9">
        <v>2017</v>
      </c>
      <c r="F3" s="8">
        <f>+E3+1</f>
        <v>2018</v>
      </c>
      <c r="G3" s="8">
        <f>+F3+1</f>
        <v>2019</v>
      </c>
      <c r="H3" s="8">
        <f>+G3+1</f>
        <v>2020</v>
      </c>
      <c r="I3" s="8">
        <f t="shared" ref="I3:N3" si="0">+H3+1</f>
        <v>2021</v>
      </c>
      <c r="J3" s="8">
        <f t="shared" si="0"/>
        <v>2022</v>
      </c>
      <c r="K3" s="8">
        <f t="shared" si="0"/>
        <v>2023</v>
      </c>
      <c r="L3" s="8">
        <f t="shared" si="0"/>
        <v>2024</v>
      </c>
      <c r="M3" s="8">
        <f t="shared" si="0"/>
        <v>2025</v>
      </c>
      <c r="N3" s="8">
        <f t="shared" si="0"/>
        <v>2026</v>
      </c>
      <c r="P3" s="45" t="s">
        <v>217</v>
      </c>
      <c r="R3" s="8" t="str">
        <f t="shared" ref="R3:AC3" si="1">+MONTH(R5)/3&amp;"Q"&amp;RIGHT(YEAR(R5),2)</f>
        <v>1Q18</v>
      </c>
      <c r="S3" s="8" t="str">
        <f t="shared" si="1"/>
        <v>2Q18</v>
      </c>
      <c r="T3" s="8" t="str">
        <f t="shared" si="1"/>
        <v>3Q18</v>
      </c>
      <c r="U3" s="8" t="str">
        <f t="shared" si="1"/>
        <v>4Q18</v>
      </c>
      <c r="V3" s="8" t="str">
        <f t="shared" si="1"/>
        <v>1Q19</v>
      </c>
      <c r="W3" s="8" t="str">
        <f t="shared" si="1"/>
        <v>2Q19</v>
      </c>
      <c r="X3" s="8" t="str">
        <f t="shared" si="1"/>
        <v>3Q19</v>
      </c>
      <c r="Y3" s="8" t="str">
        <f t="shared" si="1"/>
        <v>4Q19</v>
      </c>
      <c r="Z3" s="8" t="str">
        <f t="shared" si="1"/>
        <v>1Q20</v>
      </c>
      <c r="AA3" s="8" t="str">
        <f t="shared" si="1"/>
        <v>2Q20</v>
      </c>
      <c r="AB3" s="8" t="str">
        <f t="shared" si="1"/>
        <v>3Q20</v>
      </c>
      <c r="AC3" s="8" t="str">
        <f t="shared" si="1"/>
        <v>4Q20</v>
      </c>
      <c r="AD3" s="8" t="str">
        <f t="shared" ref="AD3:BA3" si="2">+MONTH(AD5)/3&amp;"Q"&amp;RIGHT(YEAR(AD5),2)</f>
        <v>1Q21</v>
      </c>
      <c r="AE3" s="8" t="str">
        <f t="shared" si="2"/>
        <v>2Q21</v>
      </c>
      <c r="AF3" s="8" t="str">
        <f t="shared" si="2"/>
        <v>3Q21</v>
      </c>
      <c r="AG3" s="8" t="str">
        <f t="shared" si="2"/>
        <v>4Q21</v>
      </c>
      <c r="AH3" s="8" t="str">
        <f t="shared" si="2"/>
        <v>1Q22</v>
      </c>
      <c r="AI3" s="8" t="str">
        <f t="shared" si="2"/>
        <v>2Q22</v>
      </c>
      <c r="AJ3" s="8" t="str">
        <f t="shared" si="2"/>
        <v>3Q22</v>
      </c>
      <c r="AK3" s="8" t="str">
        <f t="shared" si="2"/>
        <v>4Q22</v>
      </c>
      <c r="AL3" s="8" t="str">
        <f t="shared" si="2"/>
        <v>1Q23</v>
      </c>
      <c r="AM3" s="8" t="str">
        <f t="shared" si="2"/>
        <v>2Q23</v>
      </c>
      <c r="AN3" s="8" t="str">
        <f t="shared" si="2"/>
        <v>3Q23</v>
      </c>
      <c r="AO3" s="8" t="str">
        <f t="shared" si="2"/>
        <v>4Q23</v>
      </c>
      <c r="AP3" s="8" t="str">
        <f t="shared" si="2"/>
        <v>1Q24</v>
      </c>
      <c r="AQ3" s="8" t="str">
        <f t="shared" si="2"/>
        <v>2Q24</v>
      </c>
      <c r="AR3" s="8" t="str">
        <f t="shared" si="2"/>
        <v>3Q24</v>
      </c>
      <c r="AS3" s="8" t="str">
        <f t="shared" si="2"/>
        <v>4Q24</v>
      </c>
      <c r="AT3" s="8" t="str">
        <f t="shared" si="2"/>
        <v>1Q25</v>
      </c>
      <c r="AU3" s="8" t="str">
        <f t="shared" si="2"/>
        <v>2Q25</v>
      </c>
      <c r="AV3" s="8" t="str">
        <f t="shared" si="2"/>
        <v>3Q25</v>
      </c>
      <c r="AW3" s="8" t="str">
        <f t="shared" si="2"/>
        <v>4Q25</v>
      </c>
      <c r="AX3" s="8" t="str">
        <f t="shared" si="2"/>
        <v>1Q26</v>
      </c>
      <c r="AY3" s="8" t="str">
        <f t="shared" si="2"/>
        <v>2Q26</v>
      </c>
      <c r="AZ3" s="8" t="str">
        <f t="shared" si="2"/>
        <v>3Q26</v>
      </c>
      <c r="BA3" s="8" t="str">
        <f t="shared" si="2"/>
        <v>4Q26</v>
      </c>
      <c r="BB3" s="8" t="s">
        <v>75</v>
      </c>
    </row>
    <row r="4" spans="1:57" hidden="1" outlineLevel="1" x14ac:dyDescent="0.2">
      <c r="A4" s="1" t="s">
        <v>2</v>
      </c>
      <c r="E4" s="10">
        <v>42736</v>
      </c>
      <c r="F4" s="7">
        <f>+E5+1</f>
        <v>43101</v>
      </c>
      <c r="G4" s="7">
        <f>+F5+1</f>
        <v>43466</v>
      </c>
      <c r="H4" s="7">
        <f>+G5+1</f>
        <v>43831</v>
      </c>
      <c r="I4" s="7">
        <f t="shared" ref="I4:N4" si="3">+H5+1</f>
        <v>44197</v>
      </c>
      <c r="J4" s="7">
        <f t="shared" si="3"/>
        <v>44562</v>
      </c>
      <c r="K4" s="7">
        <f t="shared" si="3"/>
        <v>44927</v>
      </c>
      <c r="L4" s="7">
        <f t="shared" si="3"/>
        <v>45292</v>
      </c>
      <c r="M4" s="7">
        <f t="shared" si="3"/>
        <v>45658</v>
      </c>
      <c r="N4" s="7">
        <f t="shared" si="3"/>
        <v>46023</v>
      </c>
      <c r="R4" s="10">
        <v>43101</v>
      </c>
      <c r="S4" s="7">
        <f t="shared" ref="S4:Y4" si="4">+R5+1</f>
        <v>43191</v>
      </c>
      <c r="T4" s="7">
        <f t="shared" si="4"/>
        <v>43282</v>
      </c>
      <c r="U4" s="7">
        <f t="shared" si="4"/>
        <v>43374</v>
      </c>
      <c r="V4" s="7">
        <f t="shared" si="4"/>
        <v>43466</v>
      </c>
      <c r="W4" s="7">
        <f t="shared" si="4"/>
        <v>43556</v>
      </c>
      <c r="X4" s="7">
        <f t="shared" si="4"/>
        <v>43647</v>
      </c>
      <c r="Y4" s="7">
        <f t="shared" si="4"/>
        <v>43739</v>
      </c>
      <c r="Z4" s="7">
        <f t="shared" ref="Z4:BA4" si="5">+Y5+1</f>
        <v>43831</v>
      </c>
      <c r="AA4" s="7">
        <f t="shared" si="5"/>
        <v>43922</v>
      </c>
      <c r="AB4" s="7">
        <f t="shared" si="5"/>
        <v>44013</v>
      </c>
      <c r="AC4" s="7">
        <f t="shared" si="5"/>
        <v>44105</v>
      </c>
      <c r="AD4" s="7">
        <f t="shared" si="5"/>
        <v>44197</v>
      </c>
      <c r="AE4" s="7">
        <f t="shared" si="5"/>
        <v>44287</v>
      </c>
      <c r="AF4" s="7">
        <f t="shared" si="5"/>
        <v>44378</v>
      </c>
      <c r="AG4" s="7">
        <f t="shared" si="5"/>
        <v>44470</v>
      </c>
      <c r="AH4" s="7">
        <f t="shared" si="5"/>
        <v>44562</v>
      </c>
      <c r="AI4" s="7">
        <f t="shared" si="5"/>
        <v>44652</v>
      </c>
      <c r="AJ4" s="7">
        <f t="shared" si="5"/>
        <v>44743</v>
      </c>
      <c r="AK4" s="7">
        <f t="shared" si="5"/>
        <v>44835</v>
      </c>
      <c r="AL4" s="7">
        <f t="shared" si="5"/>
        <v>44927</v>
      </c>
      <c r="AM4" s="7">
        <f t="shared" si="5"/>
        <v>45017</v>
      </c>
      <c r="AN4" s="7">
        <f t="shared" si="5"/>
        <v>45108</v>
      </c>
      <c r="AO4" s="7">
        <f t="shared" si="5"/>
        <v>45200</v>
      </c>
      <c r="AP4" s="7">
        <f t="shared" si="5"/>
        <v>45292</v>
      </c>
      <c r="AQ4" s="7">
        <f t="shared" si="5"/>
        <v>45383</v>
      </c>
      <c r="AR4" s="7">
        <f t="shared" si="5"/>
        <v>45474</v>
      </c>
      <c r="AS4" s="7">
        <f t="shared" si="5"/>
        <v>45566</v>
      </c>
      <c r="AT4" s="7">
        <f t="shared" si="5"/>
        <v>45658</v>
      </c>
      <c r="AU4" s="7">
        <f t="shared" si="5"/>
        <v>45748</v>
      </c>
      <c r="AV4" s="7">
        <f t="shared" si="5"/>
        <v>45839</v>
      </c>
      <c r="AW4" s="7">
        <f t="shared" si="5"/>
        <v>45931</v>
      </c>
      <c r="AX4" s="7">
        <f t="shared" si="5"/>
        <v>46023</v>
      </c>
      <c r="AY4" s="7">
        <f t="shared" si="5"/>
        <v>46113</v>
      </c>
      <c r="AZ4" s="7">
        <f t="shared" si="5"/>
        <v>46204</v>
      </c>
      <c r="BA4" s="7">
        <f t="shared" si="5"/>
        <v>46296</v>
      </c>
      <c r="BB4" s="8" t="s">
        <v>75</v>
      </c>
    </row>
    <row r="5" spans="1:57" hidden="1" outlineLevel="1" x14ac:dyDescent="0.2">
      <c r="A5" s="1" t="s">
        <v>3</v>
      </c>
      <c r="E5" s="7">
        <f>+EOMONTH(E4,11)</f>
        <v>43100</v>
      </c>
      <c r="F5" s="7">
        <f>+EOMONTH(F4,11)</f>
        <v>43465</v>
      </c>
      <c r="G5" s="7">
        <f>+EOMONTH(G4,11)</f>
        <v>43830</v>
      </c>
      <c r="H5" s="7">
        <f>+EOMONTH(H4,11)</f>
        <v>44196</v>
      </c>
      <c r="I5" s="7">
        <f t="shared" ref="I5:N5" si="6">+EOMONTH(I4,11)</f>
        <v>44561</v>
      </c>
      <c r="J5" s="7">
        <f t="shared" si="6"/>
        <v>44926</v>
      </c>
      <c r="K5" s="7">
        <f t="shared" si="6"/>
        <v>45291</v>
      </c>
      <c r="L5" s="7">
        <f t="shared" si="6"/>
        <v>45657</v>
      </c>
      <c r="M5" s="7">
        <f t="shared" si="6"/>
        <v>46022</v>
      </c>
      <c r="N5" s="7">
        <f t="shared" si="6"/>
        <v>46387</v>
      </c>
      <c r="R5" s="7">
        <f t="shared" ref="R5:Y5" si="7">+EOMONTH(R4,2)</f>
        <v>43190</v>
      </c>
      <c r="S5" s="7">
        <f t="shared" si="7"/>
        <v>43281</v>
      </c>
      <c r="T5" s="7">
        <f t="shared" si="7"/>
        <v>43373</v>
      </c>
      <c r="U5" s="7">
        <f t="shared" si="7"/>
        <v>43465</v>
      </c>
      <c r="V5" s="7">
        <f t="shared" si="7"/>
        <v>43555</v>
      </c>
      <c r="W5" s="7">
        <f t="shared" si="7"/>
        <v>43646</v>
      </c>
      <c r="X5" s="7">
        <f t="shared" si="7"/>
        <v>43738</v>
      </c>
      <c r="Y5" s="7">
        <f t="shared" si="7"/>
        <v>43830</v>
      </c>
      <c r="Z5" s="7">
        <f t="shared" ref="Z5:BA5" si="8">+EOMONTH(Z4,2)</f>
        <v>43921</v>
      </c>
      <c r="AA5" s="7">
        <f t="shared" si="8"/>
        <v>44012</v>
      </c>
      <c r="AB5" s="7">
        <f t="shared" si="8"/>
        <v>44104</v>
      </c>
      <c r="AC5" s="7">
        <f t="shared" si="8"/>
        <v>44196</v>
      </c>
      <c r="AD5" s="7">
        <f t="shared" si="8"/>
        <v>44286</v>
      </c>
      <c r="AE5" s="7">
        <f t="shared" si="8"/>
        <v>44377</v>
      </c>
      <c r="AF5" s="7">
        <f t="shared" si="8"/>
        <v>44469</v>
      </c>
      <c r="AG5" s="7">
        <f t="shared" si="8"/>
        <v>44561</v>
      </c>
      <c r="AH5" s="7">
        <f t="shared" si="8"/>
        <v>44651</v>
      </c>
      <c r="AI5" s="7">
        <f t="shared" si="8"/>
        <v>44742</v>
      </c>
      <c r="AJ5" s="7">
        <f t="shared" si="8"/>
        <v>44834</v>
      </c>
      <c r="AK5" s="7">
        <f t="shared" si="8"/>
        <v>44926</v>
      </c>
      <c r="AL5" s="7">
        <f t="shared" si="8"/>
        <v>45016</v>
      </c>
      <c r="AM5" s="7">
        <f t="shared" si="8"/>
        <v>45107</v>
      </c>
      <c r="AN5" s="7">
        <f t="shared" si="8"/>
        <v>45199</v>
      </c>
      <c r="AO5" s="7">
        <f t="shared" si="8"/>
        <v>45291</v>
      </c>
      <c r="AP5" s="7">
        <f t="shared" si="8"/>
        <v>45382</v>
      </c>
      <c r="AQ5" s="7">
        <f t="shared" si="8"/>
        <v>45473</v>
      </c>
      <c r="AR5" s="7">
        <f t="shared" si="8"/>
        <v>45565</v>
      </c>
      <c r="AS5" s="7">
        <f t="shared" si="8"/>
        <v>45657</v>
      </c>
      <c r="AT5" s="7">
        <f t="shared" si="8"/>
        <v>45747</v>
      </c>
      <c r="AU5" s="7">
        <f t="shared" si="8"/>
        <v>45838</v>
      </c>
      <c r="AV5" s="7">
        <f t="shared" si="8"/>
        <v>45930</v>
      </c>
      <c r="AW5" s="7">
        <f t="shared" si="8"/>
        <v>46022</v>
      </c>
      <c r="AX5" s="7">
        <f t="shared" si="8"/>
        <v>46112</v>
      </c>
      <c r="AY5" s="7">
        <f t="shared" si="8"/>
        <v>46203</v>
      </c>
      <c r="AZ5" s="7">
        <f t="shared" si="8"/>
        <v>46295</v>
      </c>
      <c r="BA5" s="7">
        <f t="shared" si="8"/>
        <v>46387</v>
      </c>
      <c r="BB5" s="8" t="s">
        <v>75</v>
      </c>
    </row>
    <row r="6" spans="1:57" hidden="1" outlineLevel="1" x14ac:dyDescent="0.2">
      <c r="A6" s="1" t="s">
        <v>0</v>
      </c>
      <c r="R6" s="1">
        <f>+YEAR(R5)</f>
        <v>2018</v>
      </c>
      <c r="S6" s="1">
        <f t="shared" ref="S6:BA6" si="9">+YEAR(S5)</f>
        <v>2018</v>
      </c>
      <c r="T6" s="1">
        <f t="shared" si="9"/>
        <v>2018</v>
      </c>
      <c r="U6" s="1">
        <f t="shared" si="9"/>
        <v>2018</v>
      </c>
      <c r="V6" s="1">
        <f t="shared" si="9"/>
        <v>2019</v>
      </c>
      <c r="W6" s="1">
        <f t="shared" si="9"/>
        <v>2019</v>
      </c>
      <c r="X6" s="1">
        <f t="shared" si="9"/>
        <v>2019</v>
      </c>
      <c r="Y6" s="1">
        <f t="shared" si="9"/>
        <v>2019</v>
      </c>
      <c r="Z6" s="1">
        <f t="shared" si="9"/>
        <v>2020</v>
      </c>
      <c r="AA6" s="1">
        <f t="shared" si="9"/>
        <v>2020</v>
      </c>
      <c r="AB6" s="1">
        <f t="shared" si="9"/>
        <v>2020</v>
      </c>
      <c r="AC6" s="1">
        <f t="shared" si="9"/>
        <v>2020</v>
      </c>
      <c r="AD6" s="1">
        <f t="shared" si="9"/>
        <v>2021</v>
      </c>
      <c r="AE6" s="1">
        <f t="shared" si="9"/>
        <v>2021</v>
      </c>
      <c r="AF6" s="1">
        <f t="shared" si="9"/>
        <v>2021</v>
      </c>
      <c r="AG6" s="1">
        <f t="shared" si="9"/>
        <v>2021</v>
      </c>
      <c r="AH6" s="1">
        <f t="shared" si="9"/>
        <v>2022</v>
      </c>
      <c r="AI6" s="1">
        <f t="shared" si="9"/>
        <v>2022</v>
      </c>
      <c r="AJ6" s="1">
        <f t="shared" si="9"/>
        <v>2022</v>
      </c>
      <c r="AK6" s="1">
        <f t="shared" si="9"/>
        <v>2022</v>
      </c>
      <c r="AL6" s="1">
        <f t="shared" si="9"/>
        <v>2023</v>
      </c>
      <c r="AM6" s="1">
        <f t="shared" si="9"/>
        <v>2023</v>
      </c>
      <c r="AN6" s="1">
        <f t="shared" si="9"/>
        <v>2023</v>
      </c>
      <c r="AO6" s="1">
        <f t="shared" si="9"/>
        <v>2023</v>
      </c>
      <c r="AP6" s="1">
        <f t="shared" si="9"/>
        <v>2024</v>
      </c>
      <c r="AQ6" s="1">
        <f t="shared" si="9"/>
        <v>2024</v>
      </c>
      <c r="AR6" s="1">
        <f t="shared" si="9"/>
        <v>2024</v>
      </c>
      <c r="AS6" s="1">
        <f t="shared" si="9"/>
        <v>2024</v>
      </c>
      <c r="AT6" s="1">
        <f t="shared" si="9"/>
        <v>2025</v>
      </c>
      <c r="AU6" s="1">
        <f t="shared" si="9"/>
        <v>2025</v>
      </c>
      <c r="AV6" s="1">
        <f t="shared" si="9"/>
        <v>2025</v>
      </c>
      <c r="AW6" s="1">
        <f t="shared" si="9"/>
        <v>2025</v>
      </c>
      <c r="AX6" s="1">
        <f t="shared" si="9"/>
        <v>2026</v>
      </c>
      <c r="AY6" s="1">
        <f t="shared" si="9"/>
        <v>2026</v>
      </c>
      <c r="AZ6" s="1">
        <f t="shared" si="9"/>
        <v>2026</v>
      </c>
      <c r="BA6" s="1">
        <f t="shared" si="9"/>
        <v>2026</v>
      </c>
      <c r="BB6" s="8" t="s">
        <v>75</v>
      </c>
    </row>
    <row r="7" spans="1:57" s="3" customFormat="1" collapsed="1" x14ac:dyDescent="0.2">
      <c r="A7" s="17" t="s">
        <v>75</v>
      </c>
      <c r="B7" s="3" t="s">
        <v>182</v>
      </c>
      <c r="BB7" s="117" t="s">
        <v>75</v>
      </c>
    </row>
    <row r="8" spans="1:57" x14ac:dyDescent="0.2">
      <c r="B8" s="1" t="s">
        <v>183</v>
      </c>
      <c r="C8" s="45" t="s">
        <v>200</v>
      </c>
      <c r="E8" s="63"/>
      <c r="F8" s="63"/>
      <c r="G8" s="63"/>
      <c r="H8" s="63"/>
      <c r="I8" s="63"/>
      <c r="J8" s="63"/>
      <c r="R8" s="101">
        <f ca="1">+SUMIFS(FX!8:8,FX!$3:$3,South!R$3)</f>
        <v>3.3062999999999998</v>
      </c>
      <c r="S8" s="101">
        <f ca="1">+SUMIFS(FX!8:8,FX!$3:$3,South!S$3)</f>
        <v>3.8765000000000001</v>
      </c>
      <c r="T8" s="101">
        <f ca="1">+SUMIFS(FX!8:8,FX!$3:$3,South!T$3)</f>
        <v>4.0492999999999997</v>
      </c>
      <c r="U8" s="101">
        <f ca="1">+SUMIFS(FX!8:8,FX!$3:$3,South!U$3)</f>
        <v>3.8744999999999998</v>
      </c>
      <c r="V8" s="101">
        <f ca="1">+SUMIFS(FX!8:8,FX!$3:$3,South!V$3)</f>
        <v>3.9205000000000001</v>
      </c>
      <c r="W8" s="101">
        <f ca="1">+SUMIFS(FX!8:8,FX!$3:$3,South!W$3)</f>
        <v>3.8498999999999999</v>
      </c>
      <c r="X8" s="101">
        <f ca="1">+SUMIFS(FX!8:8,FX!$3:$3,South!X$3)</f>
        <v>4.1562000000000001</v>
      </c>
      <c r="Y8" s="101">
        <f ca="1">+SUMIFS(FX!8:8,FX!$3:$3,South!Y$3)</f>
        <v>4.0304000000000002</v>
      </c>
      <c r="Z8" s="101">
        <f ca="1">+SUMIFS(FX!8:8,FX!$3:$3,South!Z$3)</f>
        <v>5.2058999999999997</v>
      </c>
      <c r="AA8" s="101">
        <f ca="1">+SUMIFS(FX!8:8,FX!$3:$3,South!AA$3)</f>
        <v>5.4676</v>
      </c>
      <c r="AB8" s="101">
        <f ca="1">+SUMIFS(FX!8:8,FX!$3:$3,South!AB$3)</f>
        <v>5.6094999999999997</v>
      </c>
      <c r="AC8" s="101">
        <f ca="1">+SUMIFS(FX!8:8,FX!$3:$3,South!AC$3)</f>
        <v>5.1966999999999999</v>
      </c>
      <c r="AD8" s="101">
        <f ca="1">+SUMIFS(FX!8:8,FX!$3:$3,South!AD$3)</f>
        <v>5.63</v>
      </c>
      <c r="AE8" s="101">
        <f ca="1">+SUMIFS(FX!8:8,FX!$3:$3,South!AE$3)</f>
        <v>5.6580099502487569</v>
      </c>
      <c r="AF8" s="101">
        <f ca="1">+SUMIFS(FX!8:8,FX!$3:$3,South!AF$3)</f>
        <v>5.6861592534838259</v>
      </c>
      <c r="AG8" s="101">
        <f ca="1">+SUMIFS(FX!8:8,FX!$3:$3,South!AG$3)</f>
        <v>5.714448603003647</v>
      </c>
      <c r="AH8" s="101">
        <f ca="1">+SUMIFS(FX!8:8,FX!$3:$3,South!AH$3)</f>
        <v>5.7428786955559046</v>
      </c>
      <c r="AI8" s="101">
        <f ca="1">+SUMIFS(FX!8:8,FX!$3:$3,South!AI$3)</f>
        <v>5.7714502313546907</v>
      </c>
      <c r="AJ8" s="101">
        <f ca="1">+SUMIFS(FX!8:8,FX!$3:$3,South!AJ$3)</f>
        <v>5.8001639140977499</v>
      </c>
      <c r="AK8" s="101">
        <f ca="1">+SUMIFS(FX!8:8,FX!$3:$3,South!AK$3)</f>
        <v>5.8290204509838093</v>
      </c>
      <c r="AL8" s="101">
        <f ca="1">+SUMIFS(FX!8:8,FX!$3:$3,South!AL$3)</f>
        <v>5.8580205527299976</v>
      </c>
      <c r="AM8" s="101">
        <f ca="1">+SUMIFS(FX!8:8,FX!$3:$3,South!AM$3)</f>
        <v>5.8871649335893519</v>
      </c>
      <c r="AN8" s="101">
        <f ca="1">+SUMIFS(FX!8:8,FX!$3:$3,South!AN$3)</f>
        <v>5.9164543113684038</v>
      </c>
      <c r="AO8" s="101">
        <f ca="1">+SUMIFS(FX!8:8,FX!$3:$3,South!AO$3)</f>
        <v>5.9458894074448638</v>
      </c>
      <c r="AP8" s="101">
        <f ca="1">+SUMIFS(FX!8:8,FX!$3:$3,South!AP$3)</f>
        <v>5.9754709467853857</v>
      </c>
      <c r="AQ8" s="101">
        <f ca="1">+SUMIFS(FX!8:8,FX!$3:$3,South!AQ$3)</f>
        <v>6.0051996579634235</v>
      </c>
      <c r="AR8" s="101">
        <f ca="1">+SUMIFS(FX!8:8,FX!$3:$3,South!AR$3)</f>
        <v>6.0350762731771725</v>
      </c>
      <c r="AS8" s="101">
        <f ca="1">+SUMIFS(FX!8:8,FX!$3:$3,South!AS$3)</f>
        <v>6.0651015282676068</v>
      </c>
      <c r="AT8" s="101">
        <f ca="1">+SUMIFS(FX!8:8,FX!$3:$3,South!AT$3)</f>
        <v>6.0952761627366012</v>
      </c>
      <c r="AU8" s="101">
        <f ca="1">+SUMIFS(FX!8:8,FX!$3:$3,South!AU$3)</f>
        <v>6.1256009197651418</v>
      </c>
      <c r="AV8" s="101">
        <f ca="1">+SUMIFS(FX!8:8,FX!$3:$3,South!AV$3)</f>
        <v>6.1560765462316356</v>
      </c>
      <c r="AW8" s="101">
        <f ca="1">+SUMIFS(FX!8:8,FX!$3:$3,South!AW$3)</f>
        <v>6.1867037927303015</v>
      </c>
      <c r="AX8" s="101">
        <f ca="1">+SUMIFS(FX!8:8,FX!$3:$3,South!AX$3)</f>
        <v>6.2174834135896573</v>
      </c>
      <c r="AY8" s="101">
        <f ca="1">+SUMIFS(FX!8:8,FX!$3:$3,South!AY$3)</f>
        <v>6.2484161668910998</v>
      </c>
      <c r="AZ8" s="101">
        <f ca="1">+SUMIFS(FX!8:8,FX!$3:$3,South!AZ$3)</f>
        <v>6.2795028144875733</v>
      </c>
      <c r="BA8" s="101">
        <f ca="1">+SUMIFS(FX!8:8,FX!$3:$3,South!BA$3)</f>
        <v>6.3107441220223386</v>
      </c>
      <c r="BB8" s="8" t="s">
        <v>75</v>
      </c>
    </row>
    <row r="9" spans="1:57" x14ac:dyDescent="0.2">
      <c r="B9" s="1" t="s">
        <v>197</v>
      </c>
      <c r="C9" s="45" t="s">
        <v>200</v>
      </c>
      <c r="E9" s="63"/>
      <c r="F9" s="63"/>
      <c r="G9" s="63"/>
      <c r="H9" s="63"/>
      <c r="I9" s="63"/>
      <c r="J9" s="63"/>
      <c r="R9" s="101">
        <f ca="1">+SUMIFS(FX!11:11,FX!$3:$3,South!R$3)</f>
        <v>3.2670911764705881</v>
      </c>
      <c r="S9" s="101">
        <f ca="1">+SUMIFS(FX!11:11,FX!$3:$3,South!S$3)</f>
        <v>3.6087936507936504</v>
      </c>
      <c r="T9" s="101">
        <f ca="1">+SUMIFS(FX!11:11,FX!$3:$3,South!T$3)</f>
        <v>3.9478421874999987</v>
      </c>
      <c r="U9" s="101">
        <f ca="1">+SUMIFS(FX!11:11,FX!$3:$3,South!U$3)</f>
        <v>3.8125758064516133</v>
      </c>
      <c r="V9" s="101">
        <f ca="1">+SUMIFS(FX!11:11,FX!$3:$3,South!V$3)</f>
        <v>3.7655786885245899</v>
      </c>
      <c r="W9" s="101">
        <f ca="1">+SUMIFS(FX!11:11,FX!$3:$3,South!W$3)</f>
        <v>3.9215532258064503</v>
      </c>
      <c r="X9" s="101">
        <f ca="1">+SUMIFS(FX!11:11,FX!$3:$3,South!X$3)</f>
        <v>3.9722803030303022</v>
      </c>
      <c r="Y9" s="101">
        <f ca="1">+SUMIFS(FX!11:11,FX!$3:$3,South!Y$3)</f>
        <v>4.1161359375000002</v>
      </c>
      <c r="Z9" s="101">
        <f ca="1">+SUMIFS(FX!11:11,FX!$3:$3,South!Z$3)</f>
        <v>4.4725483870967748</v>
      </c>
      <c r="AA9" s="101">
        <f ca="1">+SUMIFS(FX!11:11,FX!$3:$3,South!AA$3)</f>
        <v>5.3856540983606553</v>
      </c>
      <c r="AB9" s="101">
        <f ca="1">+SUMIFS(FX!11:11,FX!$3:$3,South!AB$3)</f>
        <v>5.380169230769229</v>
      </c>
      <c r="AC9" s="101">
        <f ca="1">+SUMIFS(FX!11:11,FX!$3:$3,South!AC$3)</f>
        <v>5.3950349206349211</v>
      </c>
      <c r="AD9" s="101">
        <f ca="1">+SUMIFS(FX!11:11,FX!$3:$3,South!AD$3)</f>
        <v>5.3901184210526321</v>
      </c>
      <c r="AE9" s="101">
        <f ca="1">+SUMIFS(FX!11:11,FX!$3:$3,South!AE$3)</f>
        <v>5.6440049751243784</v>
      </c>
      <c r="AF9" s="101">
        <f ca="1">+SUMIFS(FX!11:11,FX!$3:$3,South!AF$3)</f>
        <v>5.6720846018662918</v>
      </c>
      <c r="AG9" s="101">
        <f ca="1">+SUMIFS(FX!11:11,FX!$3:$3,South!AG$3)</f>
        <v>5.700303928243736</v>
      </c>
      <c r="AH9" s="101">
        <f ca="1">+SUMIFS(FX!11:11,FX!$3:$3,South!AH$3)</f>
        <v>5.7286636492797758</v>
      </c>
      <c r="AI9" s="101">
        <f ca="1">+SUMIFS(FX!11:11,FX!$3:$3,South!AI$3)</f>
        <v>5.7571644634552976</v>
      </c>
      <c r="AJ9" s="101">
        <f ca="1">+SUMIFS(FX!11:11,FX!$3:$3,South!AJ$3)</f>
        <v>5.7858070727262199</v>
      </c>
      <c r="AK9" s="101">
        <f ca="1">+SUMIFS(FX!11:11,FX!$3:$3,South!AK$3)</f>
        <v>5.81459218254078</v>
      </c>
      <c r="AL9" s="101">
        <f ca="1">+SUMIFS(FX!11:11,FX!$3:$3,South!AL$3)</f>
        <v>5.8435205018569034</v>
      </c>
      <c r="AM9" s="101">
        <f ca="1">+SUMIFS(FX!11:11,FX!$3:$3,South!AM$3)</f>
        <v>5.8725927431596752</v>
      </c>
      <c r="AN9" s="101">
        <f ca="1">+SUMIFS(FX!11:11,FX!$3:$3,South!AN$3)</f>
        <v>5.9018096224788774</v>
      </c>
      <c r="AO9" s="101">
        <f ca="1">+SUMIFS(FX!11:11,FX!$3:$3,South!AO$3)</f>
        <v>5.9311718594066338</v>
      </c>
      <c r="AP9" s="101">
        <f ca="1">+SUMIFS(FX!11:11,FX!$3:$3,South!AP$3)</f>
        <v>5.9606801771151243</v>
      </c>
      <c r="AQ9" s="101">
        <f ca="1">+SUMIFS(FX!11:11,FX!$3:$3,South!AQ$3)</f>
        <v>5.9903353023744046</v>
      </c>
      <c r="AR9" s="101">
        <f ca="1">+SUMIFS(FX!11:11,FX!$3:$3,South!AR$3)</f>
        <v>6.0201379655702976</v>
      </c>
      <c r="AS9" s="101">
        <f ca="1">+SUMIFS(FX!11:11,FX!$3:$3,South!AS$3)</f>
        <v>6.0500889007223897</v>
      </c>
      <c r="AT9" s="101">
        <f ca="1">+SUMIFS(FX!11:11,FX!$3:$3,South!AT$3)</f>
        <v>6.0801888455021036</v>
      </c>
      <c r="AU9" s="101">
        <f ca="1">+SUMIFS(FX!11:11,FX!$3:$3,South!AU$3)</f>
        <v>6.1104385412508719</v>
      </c>
      <c r="AV9" s="101">
        <f ca="1">+SUMIFS(FX!11:11,FX!$3:$3,South!AV$3)</f>
        <v>6.1408387329983887</v>
      </c>
      <c r="AW9" s="101">
        <f ca="1">+SUMIFS(FX!11:11,FX!$3:$3,South!AW$3)</f>
        <v>6.1713901694809685</v>
      </c>
      <c r="AX9" s="101">
        <f ca="1">+SUMIFS(FX!11:11,FX!$3:$3,South!AX$3)</f>
        <v>6.2020936031599794</v>
      </c>
      <c r="AY9" s="101">
        <f ca="1">+SUMIFS(FX!11:11,FX!$3:$3,South!AY$3)</f>
        <v>6.2329497902403785</v>
      </c>
      <c r="AZ9" s="101">
        <f ca="1">+SUMIFS(FX!11:11,FX!$3:$3,South!AZ$3)</f>
        <v>6.2639594906893361</v>
      </c>
      <c r="BA9" s="101">
        <f ca="1">+SUMIFS(FX!11:11,FX!$3:$3,South!BA$3)</f>
        <v>6.2951234682549559</v>
      </c>
      <c r="BB9" s="8" t="s">
        <v>75</v>
      </c>
    </row>
    <row r="10" spans="1:57" x14ac:dyDescent="0.2">
      <c r="E10" s="67"/>
      <c r="F10" s="67"/>
      <c r="G10" s="67"/>
      <c r="H10" s="67"/>
      <c r="I10" s="67"/>
      <c r="BB10" s="8" t="s">
        <v>75</v>
      </c>
    </row>
    <row r="11" spans="1:57" s="3" customFormat="1" x14ac:dyDescent="0.2">
      <c r="A11" s="17" t="s">
        <v>75</v>
      </c>
      <c r="B11" s="3" t="s">
        <v>233</v>
      </c>
      <c r="BB11" s="117" t="s">
        <v>75</v>
      </c>
    </row>
    <row r="12" spans="1:57" s="118" customFormat="1" x14ac:dyDescent="0.2">
      <c r="B12" s="118" t="s">
        <v>234</v>
      </c>
      <c r="C12" s="119" t="s">
        <v>177</v>
      </c>
      <c r="E12" s="120"/>
      <c r="F12" s="120"/>
      <c r="G12" s="120"/>
      <c r="H12" s="120"/>
      <c r="I12" s="120"/>
      <c r="J12" s="120"/>
      <c r="R12" s="120"/>
      <c r="S12" s="120"/>
      <c r="T12" s="120"/>
      <c r="U12" s="121"/>
      <c r="V12" s="121">
        <f t="shared" ref="V12:AC12" ca="1" si="10">+V63/SUMIFS(63:63,6:6,V6)</f>
        <v>0.25764179773282253</v>
      </c>
      <c r="W12" s="121">
        <f t="shared" ca="1" si="10"/>
        <v>0.27224269971982973</v>
      </c>
      <c r="X12" s="121">
        <f t="shared" ca="1" si="10"/>
        <v>0.27422529908579252</v>
      </c>
      <c r="Y12" s="121">
        <f t="shared" ca="1" si="10"/>
        <v>0.19589020346155528</v>
      </c>
      <c r="Z12" s="121">
        <f t="shared" ca="1" si="10"/>
        <v>0.2195220714977956</v>
      </c>
      <c r="AA12" s="121">
        <f t="shared" ca="1" si="10"/>
        <v>0.26018577284865468</v>
      </c>
      <c r="AB12" s="121">
        <f t="shared" ca="1" si="10"/>
        <v>0.26253038087106856</v>
      </c>
      <c r="AC12" s="121">
        <f t="shared" ca="1" si="10"/>
        <v>0.25776177478248113</v>
      </c>
      <c r="AD12" s="122">
        <f ca="1">+AVERAGE(Z12,V12)</f>
        <v>0.23858193461530908</v>
      </c>
      <c r="AE12" s="122">
        <f ca="1">+AVERAGE(AA12,W12)</f>
        <v>0.26621423628424223</v>
      </c>
      <c r="AF12" s="122">
        <f ca="1">+AVERAGE(AB12,X12)</f>
        <v>0.26837783997843057</v>
      </c>
      <c r="AG12" s="122">
        <f ca="1">+AVERAGE(AC12,Y12)</f>
        <v>0.22682598912201821</v>
      </c>
      <c r="AH12" s="123">
        <f ca="1">+AD12</f>
        <v>0.23858193461530908</v>
      </c>
      <c r="AI12" s="123">
        <f t="shared" ref="AI12:BA12" ca="1" si="11">+AE12</f>
        <v>0.26621423628424223</v>
      </c>
      <c r="AJ12" s="123">
        <f t="shared" ca="1" si="11"/>
        <v>0.26837783997843057</v>
      </c>
      <c r="AK12" s="123">
        <f t="shared" ca="1" si="11"/>
        <v>0.22682598912201821</v>
      </c>
      <c r="AL12" s="123">
        <f t="shared" ca="1" si="11"/>
        <v>0.23858193461530908</v>
      </c>
      <c r="AM12" s="123">
        <f t="shared" ca="1" si="11"/>
        <v>0.26621423628424223</v>
      </c>
      <c r="AN12" s="123">
        <f t="shared" ca="1" si="11"/>
        <v>0.26837783997843057</v>
      </c>
      <c r="AO12" s="123">
        <f t="shared" ca="1" si="11"/>
        <v>0.22682598912201821</v>
      </c>
      <c r="AP12" s="123">
        <f t="shared" ca="1" si="11"/>
        <v>0.23858193461530908</v>
      </c>
      <c r="AQ12" s="123">
        <f t="shared" ca="1" si="11"/>
        <v>0.26621423628424223</v>
      </c>
      <c r="AR12" s="123">
        <f t="shared" ca="1" si="11"/>
        <v>0.26837783997843057</v>
      </c>
      <c r="AS12" s="123">
        <f t="shared" ca="1" si="11"/>
        <v>0.22682598912201821</v>
      </c>
      <c r="AT12" s="123">
        <f t="shared" ca="1" si="11"/>
        <v>0.23858193461530908</v>
      </c>
      <c r="AU12" s="123">
        <f t="shared" ca="1" si="11"/>
        <v>0.26621423628424223</v>
      </c>
      <c r="AV12" s="123">
        <f t="shared" ca="1" si="11"/>
        <v>0.26837783997843057</v>
      </c>
      <c r="AW12" s="123">
        <f t="shared" ca="1" si="11"/>
        <v>0.22682598912201821</v>
      </c>
      <c r="AX12" s="123">
        <f t="shared" ca="1" si="11"/>
        <v>0.23858193461530908</v>
      </c>
      <c r="AY12" s="123">
        <f t="shared" ca="1" si="11"/>
        <v>0.26621423628424223</v>
      </c>
      <c r="AZ12" s="123">
        <f t="shared" ca="1" si="11"/>
        <v>0.26837783997843057</v>
      </c>
      <c r="BA12" s="123">
        <f t="shared" ca="1" si="11"/>
        <v>0.22682598912201821</v>
      </c>
      <c r="BB12" s="124" t="s">
        <v>75</v>
      </c>
    </row>
    <row r="13" spans="1:57" x14ac:dyDescent="0.2">
      <c r="E13" s="67"/>
      <c r="F13" s="67"/>
      <c r="G13" s="67"/>
      <c r="H13" s="67"/>
      <c r="I13" s="67"/>
      <c r="BB13" s="8" t="s">
        <v>75</v>
      </c>
    </row>
    <row r="14" spans="1:57" s="3" customFormat="1" x14ac:dyDescent="0.2">
      <c r="A14" s="17" t="s">
        <v>75</v>
      </c>
      <c r="B14" s="3" t="s">
        <v>7</v>
      </c>
      <c r="BB14" s="117" t="s">
        <v>75</v>
      </c>
    </row>
    <row r="15" spans="1:57" s="35" customFormat="1" x14ac:dyDescent="0.2">
      <c r="A15" s="17" t="s">
        <v>75</v>
      </c>
      <c r="B15" s="36" t="s">
        <v>5</v>
      </c>
      <c r="C15" s="36"/>
      <c r="D15" s="36"/>
      <c r="E15" s="36"/>
      <c r="F15" s="36"/>
      <c r="G15" s="36"/>
      <c r="H15" s="37"/>
      <c r="I15" s="37"/>
      <c r="J15" s="37"/>
      <c r="K15" s="37"/>
      <c r="L15" s="37"/>
      <c r="M15" s="37"/>
      <c r="N15" s="37"/>
      <c r="O15" s="37"/>
      <c r="P15" s="37"/>
      <c r="Q15" s="37"/>
      <c r="U15" s="37"/>
      <c r="V15" s="44"/>
      <c r="W15" s="44"/>
      <c r="X15" s="44"/>
      <c r="Y15" s="44"/>
      <c r="Z15" s="44"/>
      <c r="AA15" s="44"/>
      <c r="AB15" s="44"/>
      <c r="AC15" s="44"/>
      <c r="AD15" s="44"/>
      <c r="AE15" s="44"/>
      <c r="AF15" s="44"/>
      <c r="BB15" s="90" t="s">
        <v>75</v>
      </c>
      <c r="BE15" s="90"/>
    </row>
    <row r="16" spans="1:57" s="2" customFormat="1" x14ac:dyDescent="0.2">
      <c r="B16" s="34" t="s">
        <v>17</v>
      </c>
      <c r="C16" s="45" t="s">
        <v>201</v>
      </c>
      <c r="D16" s="34"/>
      <c r="E16" s="11"/>
      <c r="F16" s="24">
        <f t="shared" ref="F16" si="12">+SUM(F17:F20)</f>
        <v>2078.1085640000001</v>
      </c>
      <c r="G16" s="24">
        <f t="shared" ref="G16:N16" si="13">+SUM(G17:G20)</f>
        <v>2180.0912234000002</v>
      </c>
      <c r="H16" s="24">
        <f t="shared" si="13"/>
        <v>1889.3910130816328</v>
      </c>
      <c r="I16" s="24">
        <f t="shared" ca="1" si="13"/>
        <v>2040.0008637357146</v>
      </c>
      <c r="J16" s="24">
        <f t="shared" ca="1" si="13"/>
        <v>2116.1763689225004</v>
      </c>
      <c r="K16" s="24">
        <f t="shared" ca="1" si="13"/>
        <v>2159.2997343780626</v>
      </c>
      <c r="L16" s="24">
        <f t="shared" ca="1" si="13"/>
        <v>2203.4033735323387</v>
      </c>
      <c r="M16" s="24">
        <f t="shared" ca="1" si="13"/>
        <v>2248.5108151234203</v>
      </c>
      <c r="N16" s="24">
        <f t="shared" ca="1" si="13"/>
        <v>2294.6461663268065</v>
      </c>
      <c r="P16" s="97">
        <f ca="1">+(N16/I16)^(1/5)-1</f>
        <v>2.3804596723069782E-2</v>
      </c>
      <c r="R16" s="24">
        <f>+SUM(R17:R20)</f>
        <v>434.09314000000001</v>
      </c>
      <c r="S16" s="24">
        <f t="shared" ref="S16:AC16" si="14">+SUM(S17:S20)</f>
        <v>639.53495599999997</v>
      </c>
      <c r="T16" s="24">
        <f t="shared" si="14"/>
        <v>569.10578300000009</v>
      </c>
      <c r="U16" s="24">
        <f t="shared" si="14"/>
        <v>435.374685</v>
      </c>
      <c r="V16" s="24">
        <f t="shared" si="14"/>
        <v>594.40094700000009</v>
      </c>
      <c r="W16" s="24">
        <f t="shared" si="14"/>
        <v>658.61110099999996</v>
      </c>
      <c r="X16" s="24">
        <f t="shared" si="14"/>
        <v>675.32784700000002</v>
      </c>
      <c r="Y16" s="24">
        <f t="shared" si="14"/>
        <v>251.75132839999998</v>
      </c>
      <c r="Z16" s="24">
        <f t="shared" si="14"/>
        <v>456.21798708163266</v>
      </c>
      <c r="AA16" s="24">
        <f t="shared" si="14"/>
        <v>637.77903800000001</v>
      </c>
      <c r="AB16" s="24">
        <f t="shared" si="14"/>
        <v>564.76443899999992</v>
      </c>
      <c r="AC16" s="24">
        <f t="shared" si="14"/>
        <v>230.62954899999997</v>
      </c>
      <c r="AD16" s="24">
        <f t="shared" ref="AD16:BA16" ca="1" si="15">+SUM(AD17:AD20)</f>
        <v>491.36938643571432</v>
      </c>
      <c r="AE16" s="24">
        <f t="shared" ca="1" si="15"/>
        <v>691.75808990000007</v>
      </c>
      <c r="AF16" s="24">
        <f t="shared" ca="1" si="15"/>
        <v>612.92816094999989</v>
      </c>
      <c r="AG16" s="24">
        <f t="shared" ca="1" si="15"/>
        <v>243.94522645000001</v>
      </c>
      <c r="AH16" s="24">
        <f t="shared" ca="1" si="15"/>
        <v>510.26122575749997</v>
      </c>
      <c r="AI16" s="24">
        <f t="shared" ca="1" si="15"/>
        <v>716.18454839500021</v>
      </c>
      <c r="AJ16" s="24">
        <f t="shared" ca="1" si="15"/>
        <v>634.40883899750008</v>
      </c>
      <c r="AK16" s="24">
        <f t="shared" ca="1" si="15"/>
        <v>255.32175577250004</v>
      </c>
      <c r="AL16" s="24">
        <f t="shared" ca="1" si="15"/>
        <v>520.86773278893747</v>
      </c>
      <c r="AM16" s="24">
        <f t="shared" ca="1" si="15"/>
        <v>730.24051443237511</v>
      </c>
      <c r="AN16" s="24">
        <f t="shared" ca="1" si="15"/>
        <v>646.79753973493735</v>
      </c>
      <c r="AO16" s="24">
        <f t="shared" ca="1" si="15"/>
        <v>261.39394742181247</v>
      </c>
      <c r="AP16" s="24">
        <f t="shared" ca="1" si="15"/>
        <v>531.71790226003577</v>
      </c>
      <c r="AQ16" s="24">
        <f t="shared" ca="1" si="15"/>
        <v>744.60939314395932</v>
      </c>
      <c r="AR16" s="24">
        <f t="shared" ca="1" si="15"/>
        <v>659.46124278843592</v>
      </c>
      <c r="AS16" s="24">
        <f t="shared" ca="1" si="15"/>
        <v>267.61483533990781</v>
      </c>
      <c r="AT16" s="24">
        <f t="shared" ca="1" si="15"/>
        <v>542.8176107294255</v>
      </c>
      <c r="AU16" s="24">
        <f t="shared" ca="1" si="15"/>
        <v>759.29862248184111</v>
      </c>
      <c r="AV16" s="24">
        <f t="shared" ca="1" si="15"/>
        <v>672.40647606387313</v>
      </c>
      <c r="AW16" s="24">
        <f t="shared" ca="1" si="15"/>
        <v>273.98810584828095</v>
      </c>
      <c r="AX16" s="24">
        <f t="shared" ca="1" si="15"/>
        <v>554.17287951967865</v>
      </c>
      <c r="AY16" s="24">
        <f t="shared" ca="1" si="15"/>
        <v>774.31582249826261</v>
      </c>
      <c r="AZ16" s="24">
        <f t="shared" ca="1" si="15"/>
        <v>685.63992719325336</v>
      </c>
      <c r="BA16" s="24">
        <f t="shared" ca="1" si="15"/>
        <v>280.51753711561224</v>
      </c>
      <c r="BB16" s="8" t="s">
        <v>75</v>
      </c>
    </row>
    <row r="17" spans="2:54" x14ac:dyDescent="0.2">
      <c r="B17" s="19" t="s">
        <v>13</v>
      </c>
      <c r="C17" s="45" t="s">
        <v>201</v>
      </c>
      <c r="D17" s="19"/>
      <c r="E17" s="11"/>
      <c r="F17" s="11">
        <f t="shared" ref="F17:N20" si="16">+SUMIFS(17:17,$6:$6,F$3)</f>
        <v>674.13200000000006</v>
      </c>
      <c r="G17" s="11">
        <f t="shared" si="16"/>
        <v>424.44200000000001</v>
      </c>
      <c r="H17" s="11">
        <f t="shared" si="16"/>
        <v>561.40300000000002</v>
      </c>
      <c r="I17" s="11">
        <f t="shared" ca="1" si="16"/>
        <v>645.61344999999994</v>
      </c>
      <c r="J17" s="11">
        <f t="shared" ca="1" si="16"/>
        <v>652.06958450000002</v>
      </c>
      <c r="K17" s="11">
        <f t="shared" ca="1" si="16"/>
        <v>658.590280345</v>
      </c>
      <c r="L17" s="11">
        <f t="shared" ca="1" si="16"/>
        <v>665.17618314844992</v>
      </c>
      <c r="M17" s="11">
        <f t="shared" ca="1" si="16"/>
        <v>671.8279449799345</v>
      </c>
      <c r="N17" s="11">
        <f t="shared" ca="1" si="16"/>
        <v>678.5462244297338</v>
      </c>
      <c r="P17" s="97">
        <f ca="1">+(N17/I17)^(1/5)-1</f>
        <v>1.0000000000000009E-2</v>
      </c>
      <c r="R17" s="12">
        <v>169.81399999999999</v>
      </c>
      <c r="S17" s="12">
        <v>143.31399999999999</v>
      </c>
      <c r="T17" s="12">
        <v>157.85300000000001</v>
      </c>
      <c r="U17" s="12">
        <v>203.15100000000001</v>
      </c>
      <c r="V17" s="12">
        <v>118.34</v>
      </c>
      <c r="W17" s="12">
        <v>166.41399999999999</v>
      </c>
      <c r="X17" s="12">
        <v>139.68799999999999</v>
      </c>
      <c r="Y17" s="12">
        <v>0</v>
      </c>
      <c r="Z17" s="12">
        <v>123.405</v>
      </c>
      <c r="AA17" s="12">
        <v>220.90100000000001</v>
      </c>
      <c r="AB17" s="12">
        <v>199.255</v>
      </c>
      <c r="AC17" s="12">
        <v>17.841999999999999</v>
      </c>
      <c r="AD17" s="128">
        <f t="shared" ref="AD17:BA17" ca="1" si="17">+Z17*(1+AD25)</f>
        <v>141.91575</v>
      </c>
      <c r="AE17" s="128">
        <f t="shared" ca="1" si="17"/>
        <v>254.03614999999999</v>
      </c>
      <c r="AF17" s="128">
        <f t="shared" ca="1" si="17"/>
        <v>229.14324999999997</v>
      </c>
      <c r="AG17" s="128">
        <f t="shared" ca="1" si="17"/>
        <v>20.518299999999996</v>
      </c>
      <c r="AH17" s="128">
        <f t="shared" ca="1" si="17"/>
        <v>143.33490750000001</v>
      </c>
      <c r="AI17" s="128">
        <f t="shared" ca="1" si="17"/>
        <v>256.57651149999998</v>
      </c>
      <c r="AJ17" s="128">
        <f t="shared" ca="1" si="17"/>
        <v>231.43468249999998</v>
      </c>
      <c r="AK17" s="128">
        <f t="shared" ca="1" si="17"/>
        <v>20.723482999999998</v>
      </c>
      <c r="AL17" s="128">
        <f t="shared" ca="1" si="17"/>
        <v>144.76825657500001</v>
      </c>
      <c r="AM17" s="128">
        <f t="shared" ca="1" si="17"/>
        <v>259.14227661499996</v>
      </c>
      <c r="AN17" s="128">
        <f t="shared" ca="1" si="17"/>
        <v>233.74902932499998</v>
      </c>
      <c r="AO17" s="128">
        <f t="shared" ca="1" si="17"/>
        <v>20.930717829999999</v>
      </c>
      <c r="AP17" s="128">
        <f t="shared" ca="1" si="17"/>
        <v>146.21593914075001</v>
      </c>
      <c r="AQ17" s="128">
        <f t="shared" ca="1" si="17"/>
        <v>261.73369938114996</v>
      </c>
      <c r="AR17" s="128">
        <f t="shared" ca="1" si="17"/>
        <v>236.08651961824998</v>
      </c>
      <c r="AS17" s="128">
        <f t="shared" ca="1" si="17"/>
        <v>21.1400250083</v>
      </c>
      <c r="AT17" s="128">
        <f t="shared" ca="1" si="17"/>
        <v>147.67809853215752</v>
      </c>
      <c r="AU17" s="128">
        <f t="shared" ca="1" si="17"/>
        <v>264.35103637496144</v>
      </c>
      <c r="AV17" s="128">
        <f t="shared" ca="1" si="17"/>
        <v>238.4473848144325</v>
      </c>
      <c r="AW17" s="128">
        <f t="shared" ca="1" si="17"/>
        <v>21.351425258382999</v>
      </c>
      <c r="AX17" s="128">
        <f t="shared" ca="1" si="17"/>
        <v>149.15487951747909</v>
      </c>
      <c r="AY17" s="128">
        <f t="shared" ca="1" si="17"/>
        <v>266.99454673871105</v>
      </c>
      <c r="AZ17" s="128">
        <f t="shared" ca="1" si="17"/>
        <v>240.83185866257682</v>
      </c>
      <c r="BA17" s="128">
        <f t="shared" ca="1" si="17"/>
        <v>21.56493951096683</v>
      </c>
      <c r="BB17" s="8" t="s">
        <v>75</v>
      </c>
    </row>
    <row r="18" spans="2:54" x14ac:dyDescent="0.2">
      <c r="B18" s="19" t="s">
        <v>11</v>
      </c>
      <c r="C18" s="45" t="s">
        <v>201</v>
      </c>
      <c r="D18" s="19"/>
      <c r="E18" s="11"/>
      <c r="F18" s="11">
        <f t="shared" si="16"/>
        <v>872.35763199999997</v>
      </c>
      <c r="G18" s="11">
        <f t="shared" si="16"/>
        <v>948.65655140000001</v>
      </c>
      <c r="H18" s="11">
        <f t="shared" si="16"/>
        <v>1058.0132630000001</v>
      </c>
      <c r="I18" s="11">
        <f t="shared" ca="1" si="16"/>
        <v>1110.9139261500002</v>
      </c>
      <c r="J18" s="11">
        <f t="shared" ca="1" si="16"/>
        <v>1166.4596224575002</v>
      </c>
      <c r="K18" s="11">
        <f t="shared" ca="1" si="16"/>
        <v>1195.6211130189374</v>
      </c>
      <c r="L18" s="11">
        <f t="shared" ca="1" si="16"/>
        <v>1225.5116408444107</v>
      </c>
      <c r="M18" s="11">
        <f t="shared" ca="1" si="16"/>
        <v>1256.1494318655209</v>
      </c>
      <c r="N18" s="11">
        <f t="shared" ca="1" si="16"/>
        <v>1287.5531676621588</v>
      </c>
      <c r="P18" s="97">
        <f ca="1">+(N18/I18)^(1/5)-1</f>
        <v>2.9951921406725424E-2</v>
      </c>
      <c r="R18" s="12">
        <v>252.26501099999999</v>
      </c>
      <c r="S18" s="12">
        <v>398.35769799999997</v>
      </c>
      <c r="T18" s="12">
        <v>221.73492300000001</v>
      </c>
      <c r="U18" s="12">
        <v>0</v>
      </c>
      <c r="V18" s="12">
        <v>314.54494900000003</v>
      </c>
      <c r="W18" s="12">
        <v>300.069321</v>
      </c>
      <c r="X18" s="12">
        <v>225.00018699999998</v>
      </c>
      <c r="Y18" s="12">
        <v>109.04209439999998</v>
      </c>
      <c r="Z18" s="12">
        <v>250.68895499999999</v>
      </c>
      <c r="AA18" s="12">
        <v>376.60776900000002</v>
      </c>
      <c r="AB18" s="12">
        <v>316.67472900000001</v>
      </c>
      <c r="AC18" s="12">
        <v>114.04181</v>
      </c>
      <c r="AD18" s="128">
        <f ca="1">+Z18*(AD$22/Z$22)</f>
        <v>263.22340274999999</v>
      </c>
      <c r="AE18" s="128">
        <f t="shared" ref="AE18:BA20" ca="1" si="18">+AA18*(AE$22/AA$22)</f>
        <v>395.43815745000006</v>
      </c>
      <c r="AF18" s="128">
        <f t="shared" ca="1" si="18"/>
        <v>332.50846545000002</v>
      </c>
      <c r="AG18" s="128">
        <f t="shared" ca="1" si="18"/>
        <v>119.74390050000001</v>
      </c>
      <c r="AH18" s="128">
        <f t="shared" ca="1" si="18"/>
        <v>276.38457288749998</v>
      </c>
      <c r="AI18" s="128">
        <f t="shared" ca="1" si="18"/>
        <v>415.2100653225001</v>
      </c>
      <c r="AJ18" s="128">
        <f t="shared" ca="1" si="18"/>
        <v>349.13388872250005</v>
      </c>
      <c r="AK18" s="128">
        <f t="shared" ca="1" si="18"/>
        <v>125.73109552500001</v>
      </c>
      <c r="AL18" s="128">
        <f t="shared" ca="1" si="18"/>
        <v>283.29418720968744</v>
      </c>
      <c r="AM18" s="128">
        <f t="shared" ca="1" si="18"/>
        <v>425.59031695556257</v>
      </c>
      <c r="AN18" s="128">
        <f t="shared" ca="1" si="18"/>
        <v>357.86223594056253</v>
      </c>
      <c r="AO18" s="128">
        <f t="shared" ca="1" si="18"/>
        <v>128.874372913125</v>
      </c>
      <c r="AP18" s="128">
        <f t="shared" ca="1" si="18"/>
        <v>290.37654188992957</v>
      </c>
      <c r="AQ18" s="128">
        <f t="shared" ca="1" si="18"/>
        <v>436.23007487945159</v>
      </c>
      <c r="AR18" s="128">
        <f t="shared" ca="1" si="18"/>
        <v>366.80879183907655</v>
      </c>
      <c r="AS18" s="128">
        <f t="shared" ca="1" si="18"/>
        <v>132.09623223595312</v>
      </c>
      <c r="AT18" s="128">
        <f t="shared" ca="1" si="18"/>
        <v>297.63595543717776</v>
      </c>
      <c r="AU18" s="128">
        <f t="shared" ca="1" si="18"/>
        <v>447.13582675143783</v>
      </c>
      <c r="AV18" s="128">
        <f t="shared" ca="1" si="18"/>
        <v>375.97901163505344</v>
      </c>
      <c r="AW18" s="128">
        <f t="shared" ca="1" si="18"/>
        <v>135.39863804185194</v>
      </c>
      <c r="AX18" s="128">
        <f t="shared" ca="1" si="18"/>
        <v>305.07685432310717</v>
      </c>
      <c r="AY18" s="128">
        <f t="shared" ca="1" si="18"/>
        <v>458.31422242022376</v>
      </c>
      <c r="AZ18" s="128">
        <f t="shared" ca="1" si="18"/>
        <v>385.37848692592974</v>
      </c>
      <c r="BA18" s="128">
        <f t="shared" ca="1" si="18"/>
        <v>138.78360399289824</v>
      </c>
      <c r="BB18" s="8" t="s">
        <v>75</v>
      </c>
    </row>
    <row r="19" spans="2:54" x14ac:dyDescent="0.2">
      <c r="B19" s="19" t="s">
        <v>12</v>
      </c>
      <c r="C19" s="45" t="s">
        <v>201</v>
      </c>
      <c r="D19" s="19"/>
      <c r="E19" s="11"/>
      <c r="F19" s="11">
        <f t="shared" si="16"/>
        <v>237.95156</v>
      </c>
      <c r="G19" s="11">
        <f t="shared" si="16"/>
        <v>183.56224700000001</v>
      </c>
      <c r="H19" s="11">
        <f t="shared" si="16"/>
        <v>144.398619</v>
      </c>
      <c r="I19" s="11">
        <f t="shared" ca="1" si="16"/>
        <v>151.61854994999999</v>
      </c>
      <c r="J19" s="11">
        <f t="shared" ca="1" si="16"/>
        <v>159.19947744749999</v>
      </c>
      <c r="K19" s="11">
        <f t="shared" ca="1" si="16"/>
        <v>163.1794643836875</v>
      </c>
      <c r="L19" s="11">
        <f t="shared" ca="1" si="16"/>
        <v>167.25895099327965</v>
      </c>
      <c r="M19" s="11">
        <f t="shared" ca="1" si="16"/>
        <v>171.44042476811163</v>
      </c>
      <c r="N19" s="11">
        <f t="shared" ca="1" si="16"/>
        <v>175.72643538731438</v>
      </c>
      <c r="P19" s="97">
        <f ca="1">+(N19/I19)^(1/5)-1</f>
        <v>2.9951921406725424E-2</v>
      </c>
      <c r="R19" s="12">
        <v>0</v>
      </c>
      <c r="S19" s="12">
        <v>43.291029999999999</v>
      </c>
      <c r="T19" s="12">
        <v>96.144845000000004</v>
      </c>
      <c r="U19" s="12">
        <v>98.515684999999991</v>
      </c>
      <c r="V19" s="12">
        <v>0</v>
      </c>
      <c r="W19" s="12">
        <v>68.027456999999998</v>
      </c>
      <c r="X19" s="12">
        <v>71.693653999999995</v>
      </c>
      <c r="Y19" s="12">
        <v>43.841135999999999</v>
      </c>
      <c r="Z19" s="12">
        <v>20.161356000000001</v>
      </c>
      <c r="AA19" s="12">
        <v>37.783009</v>
      </c>
      <c r="AB19" s="12">
        <v>42.608039999999995</v>
      </c>
      <c r="AC19" s="12">
        <v>43.846213999999989</v>
      </c>
      <c r="AD19" s="128">
        <f ca="1">+Z19*(AD$22/Z$22)</f>
        <v>21.169423800000004</v>
      </c>
      <c r="AE19" s="128">
        <f t="shared" ca="1" si="18"/>
        <v>39.672159450000002</v>
      </c>
      <c r="AF19" s="128">
        <f t="shared" ca="1" si="18"/>
        <v>44.738441999999999</v>
      </c>
      <c r="AG19" s="128">
        <f t="shared" ca="1" si="18"/>
        <v>46.038524699999989</v>
      </c>
      <c r="AH19" s="128">
        <f t="shared" ca="1" si="18"/>
        <v>22.227894990000006</v>
      </c>
      <c r="AI19" s="128">
        <f t="shared" ca="1" si="18"/>
        <v>41.655767422500006</v>
      </c>
      <c r="AJ19" s="128">
        <f t="shared" ca="1" si="18"/>
        <v>46.9753641</v>
      </c>
      <c r="AK19" s="128">
        <f t="shared" ca="1" si="18"/>
        <v>48.340450934999993</v>
      </c>
      <c r="AL19" s="128">
        <f t="shared" ca="1" si="18"/>
        <v>22.783592364750003</v>
      </c>
      <c r="AM19" s="128">
        <f t="shared" ca="1" si="18"/>
        <v>42.697161608062501</v>
      </c>
      <c r="AN19" s="128">
        <f t="shared" ca="1" si="18"/>
        <v>48.149748202499993</v>
      </c>
      <c r="AO19" s="128">
        <f t="shared" ca="1" si="18"/>
        <v>49.548962208374988</v>
      </c>
      <c r="AP19" s="128">
        <f t="shared" ca="1" si="18"/>
        <v>23.353182173868753</v>
      </c>
      <c r="AQ19" s="128">
        <f t="shared" ca="1" si="18"/>
        <v>43.764590648264061</v>
      </c>
      <c r="AR19" s="128">
        <f t="shared" ca="1" si="18"/>
        <v>49.353491907562486</v>
      </c>
      <c r="AS19" s="128">
        <f t="shared" ca="1" si="18"/>
        <v>50.787686263584355</v>
      </c>
      <c r="AT19" s="128">
        <f t="shared" ca="1" si="18"/>
        <v>23.93701172821547</v>
      </c>
      <c r="AU19" s="128">
        <f t="shared" ca="1" si="18"/>
        <v>44.858705414470656</v>
      </c>
      <c r="AV19" s="128">
        <f t="shared" ca="1" si="18"/>
        <v>50.587329205251542</v>
      </c>
      <c r="AW19" s="128">
        <f t="shared" ca="1" si="18"/>
        <v>52.057378420173961</v>
      </c>
      <c r="AX19" s="128">
        <f t="shared" ca="1" si="18"/>
        <v>24.535437021420854</v>
      </c>
      <c r="AY19" s="128">
        <f t="shared" ca="1" si="18"/>
        <v>45.980173049832416</v>
      </c>
      <c r="AZ19" s="128">
        <f t="shared" ca="1" si="18"/>
        <v>51.852012435382825</v>
      </c>
      <c r="BA19" s="128">
        <f t="shared" ca="1" si="18"/>
        <v>53.358812880678308</v>
      </c>
      <c r="BB19" s="8" t="s">
        <v>75</v>
      </c>
    </row>
    <row r="20" spans="2:54" x14ac:dyDescent="0.2">
      <c r="B20" s="19" t="s">
        <v>14</v>
      </c>
      <c r="C20" s="45" t="s">
        <v>201</v>
      </c>
      <c r="D20" s="19"/>
      <c r="E20" s="11"/>
      <c r="F20" s="11">
        <f t="shared" si="16"/>
        <v>293.667372</v>
      </c>
      <c r="G20" s="11">
        <f t="shared" si="16"/>
        <v>623.43042500000013</v>
      </c>
      <c r="H20" s="11">
        <f t="shared" si="16"/>
        <v>125.57613108163267</v>
      </c>
      <c r="I20" s="11">
        <f t="shared" ca="1" si="16"/>
        <v>131.85493763571429</v>
      </c>
      <c r="J20" s="11">
        <f t="shared" ca="1" si="16"/>
        <v>138.44768451750005</v>
      </c>
      <c r="K20" s="11">
        <f t="shared" ca="1" si="16"/>
        <v>141.90887663043753</v>
      </c>
      <c r="L20" s="11">
        <f t="shared" ca="1" si="16"/>
        <v>145.45659854619845</v>
      </c>
      <c r="M20" s="11">
        <f t="shared" ca="1" si="16"/>
        <v>149.09301350985339</v>
      </c>
      <c r="N20" s="11">
        <f t="shared" ca="1" si="16"/>
        <v>152.82033884759971</v>
      </c>
      <c r="P20" s="97">
        <f ca="1">+(N20/I20)^(1/5)-1</f>
        <v>2.9951921406725424E-2</v>
      </c>
      <c r="R20" s="12">
        <v>12.014129000000001</v>
      </c>
      <c r="S20" s="12">
        <v>54.572227999999996</v>
      </c>
      <c r="T20" s="12">
        <v>93.373014999999981</v>
      </c>
      <c r="U20" s="12">
        <v>133.708</v>
      </c>
      <c r="V20" s="12">
        <v>161.51599800000002</v>
      </c>
      <c r="W20" s="12">
        <v>124.100323</v>
      </c>
      <c r="X20" s="12">
        <v>238.94600600000001</v>
      </c>
      <c r="Y20" s="12">
        <v>98.868098000000003</v>
      </c>
      <c r="Z20" s="12">
        <v>61.962676081632672</v>
      </c>
      <c r="AA20" s="12">
        <v>2.48726</v>
      </c>
      <c r="AB20" s="12">
        <v>6.2266700000000004</v>
      </c>
      <c r="AC20" s="12">
        <v>54.899525000000004</v>
      </c>
      <c r="AD20" s="128">
        <f ca="1">+Z20*(AD$22/Z$22)</f>
        <v>65.060809885714306</v>
      </c>
      <c r="AE20" s="128">
        <f t="shared" ca="1" si="18"/>
        <v>2.6116230000000002</v>
      </c>
      <c r="AF20" s="128">
        <f t="shared" ca="1" si="18"/>
        <v>6.5380035000000003</v>
      </c>
      <c r="AG20" s="128">
        <f t="shared" ca="1" si="18"/>
        <v>57.644501250000005</v>
      </c>
      <c r="AH20" s="128">
        <f t="shared" ca="1" si="18"/>
        <v>68.313850380000019</v>
      </c>
      <c r="AI20" s="128">
        <f t="shared" ca="1" si="18"/>
        <v>2.7422041500000005</v>
      </c>
      <c r="AJ20" s="128">
        <f t="shared" ca="1" si="18"/>
        <v>6.8649036750000008</v>
      </c>
      <c r="AK20" s="128">
        <f t="shared" ca="1" si="18"/>
        <v>60.52672631250001</v>
      </c>
      <c r="AL20" s="128">
        <f t="shared" ca="1" si="18"/>
        <v>70.021696639500007</v>
      </c>
      <c r="AM20" s="128">
        <f t="shared" ca="1" si="18"/>
        <v>2.8107592537500001</v>
      </c>
      <c r="AN20" s="128">
        <f t="shared" ca="1" si="18"/>
        <v>7.0365262668750006</v>
      </c>
      <c r="AO20" s="128">
        <f t="shared" ca="1" si="18"/>
        <v>62.039894470312504</v>
      </c>
      <c r="AP20" s="128">
        <f t="shared" ca="1" si="18"/>
        <v>71.772239055487503</v>
      </c>
      <c r="AQ20" s="128">
        <f t="shared" ca="1" si="18"/>
        <v>2.8810282350937499</v>
      </c>
      <c r="AR20" s="128">
        <f t="shared" ca="1" si="18"/>
        <v>7.2124394235468747</v>
      </c>
      <c r="AS20" s="128">
        <f t="shared" ca="1" si="18"/>
        <v>63.590891832070312</v>
      </c>
      <c r="AT20" s="128">
        <f t="shared" ca="1" si="18"/>
        <v>73.566545031874682</v>
      </c>
      <c r="AU20" s="128">
        <f t="shared" ca="1" si="18"/>
        <v>2.9530539409710936</v>
      </c>
      <c r="AV20" s="128">
        <f t="shared" ca="1" si="18"/>
        <v>7.3927504091355463</v>
      </c>
      <c r="AW20" s="128">
        <f t="shared" ca="1" si="18"/>
        <v>65.180664127872063</v>
      </c>
      <c r="AX20" s="128">
        <f t="shared" ca="1" si="18"/>
        <v>75.405708657671539</v>
      </c>
      <c r="AY20" s="128">
        <f t="shared" ca="1" si="18"/>
        <v>3.0268802894953706</v>
      </c>
      <c r="AZ20" s="128">
        <f t="shared" ca="1" si="18"/>
        <v>7.577569169363934</v>
      </c>
      <c r="BA20" s="128">
        <f t="shared" ca="1" si="18"/>
        <v>66.810180731068854</v>
      </c>
      <c r="BB20" s="8" t="s">
        <v>75</v>
      </c>
    </row>
    <row r="21" spans="2:54" x14ac:dyDescent="0.2">
      <c r="B21" s="19"/>
      <c r="C21" s="19"/>
      <c r="D21" s="19"/>
      <c r="E21" s="11"/>
      <c r="F21" s="11"/>
      <c r="G21" s="11"/>
      <c r="H21" s="11"/>
      <c r="I21" s="11"/>
      <c r="J21" s="11"/>
      <c r="K21" s="11"/>
      <c r="L21" s="11"/>
      <c r="M21" s="11"/>
      <c r="N21" s="11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BB21" s="8" t="s">
        <v>75</v>
      </c>
    </row>
    <row r="22" spans="2:54" x14ac:dyDescent="0.2">
      <c r="B22" s="19" t="s">
        <v>247</v>
      </c>
      <c r="C22" s="45" t="s">
        <v>201</v>
      </c>
      <c r="D22" s="19"/>
      <c r="E22" s="11"/>
      <c r="F22" s="11">
        <f t="shared" ref="F22:N22" si="19">+SUMIFS(22:22,$6:$6,F$3)</f>
        <v>1403.9765640000001</v>
      </c>
      <c r="G22" s="11">
        <f t="shared" si="19"/>
        <v>1755.6492234</v>
      </c>
      <c r="H22" s="11">
        <f t="shared" si="19"/>
        <v>1327.9880130816325</v>
      </c>
      <c r="I22" s="11">
        <f t="shared" ca="1" si="19"/>
        <v>1394.3874137357141</v>
      </c>
      <c r="J22" s="11">
        <f t="shared" ca="1" si="19"/>
        <v>1464.1067844224999</v>
      </c>
      <c r="K22" s="11">
        <f t="shared" ca="1" si="19"/>
        <v>1500.7094540330625</v>
      </c>
      <c r="L22" s="11">
        <f t="shared" ca="1" si="19"/>
        <v>1538.2271903838887</v>
      </c>
      <c r="M22" s="11">
        <f t="shared" ca="1" si="19"/>
        <v>1576.6828701434858</v>
      </c>
      <c r="N22" s="11">
        <f t="shared" ca="1" si="19"/>
        <v>1616.0999418970728</v>
      </c>
      <c r="P22" s="97">
        <f ca="1">+(N22/I22)^(1/5)-1</f>
        <v>2.9951921406725424E-2</v>
      </c>
      <c r="R22" s="11">
        <f>+R16-R17</f>
        <v>264.27913999999998</v>
      </c>
      <c r="S22" s="11">
        <f t="shared" ref="S22:AC22" si="20">+S16-S17</f>
        <v>496.220956</v>
      </c>
      <c r="T22" s="11">
        <f t="shared" si="20"/>
        <v>411.25278300000008</v>
      </c>
      <c r="U22" s="11">
        <f t="shared" si="20"/>
        <v>232.22368499999999</v>
      </c>
      <c r="V22" s="11">
        <f t="shared" si="20"/>
        <v>476.06094700000006</v>
      </c>
      <c r="W22" s="11">
        <f t="shared" si="20"/>
        <v>492.19710099999998</v>
      </c>
      <c r="X22" s="11">
        <f t="shared" si="20"/>
        <v>535.63984700000003</v>
      </c>
      <c r="Y22" s="11">
        <f t="shared" si="20"/>
        <v>251.75132839999998</v>
      </c>
      <c r="Z22" s="11">
        <f t="shared" si="20"/>
        <v>332.81298708163263</v>
      </c>
      <c r="AA22" s="11">
        <f t="shared" si="20"/>
        <v>416.878038</v>
      </c>
      <c r="AB22" s="11">
        <f t="shared" si="20"/>
        <v>365.50943899999993</v>
      </c>
      <c r="AC22" s="11">
        <f t="shared" si="20"/>
        <v>212.78754899999996</v>
      </c>
      <c r="AD22" s="106">
        <f t="shared" ref="AD22:BA22" ca="1" si="21">+Z22*(1+AD29)</f>
        <v>349.45363643571426</v>
      </c>
      <c r="AE22" s="11">
        <f t="shared" ca="1" si="21"/>
        <v>437.7219399</v>
      </c>
      <c r="AF22" s="11">
        <f t="shared" ca="1" si="21"/>
        <v>383.78491094999993</v>
      </c>
      <c r="AG22" s="11">
        <f t="shared" ca="1" si="21"/>
        <v>223.42692644999997</v>
      </c>
      <c r="AH22" s="11">
        <f t="shared" ca="1" si="21"/>
        <v>366.92631825749999</v>
      </c>
      <c r="AI22" s="11">
        <f t="shared" ca="1" si="21"/>
        <v>459.608036895</v>
      </c>
      <c r="AJ22" s="11">
        <f t="shared" ca="1" si="21"/>
        <v>402.97415649749996</v>
      </c>
      <c r="AK22" s="11">
        <f t="shared" ca="1" si="21"/>
        <v>234.59827277249997</v>
      </c>
      <c r="AL22" s="11">
        <f t="shared" ca="1" si="21"/>
        <v>376.09947621393746</v>
      </c>
      <c r="AM22" s="11">
        <f t="shared" ca="1" si="21"/>
        <v>471.09823781737498</v>
      </c>
      <c r="AN22" s="11">
        <f t="shared" ca="1" si="21"/>
        <v>413.04851040993742</v>
      </c>
      <c r="AO22" s="11">
        <f t="shared" ca="1" si="21"/>
        <v>240.46322959181245</v>
      </c>
      <c r="AP22" s="11">
        <f t="shared" ca="1" si="21"/>
        <v>385.50196311928585</v>
      </c>
      <c r="AQ22" s="11">
        <f t="shared" ca="1" si="21"/>
        <v>482.87569376280931</v>
      </c>
      <c r="AR22" s="11">
        <f t="shared" ca="1" si="21"/>
        <v>423.3747231701858</v>
      </c>
      <c r="AS22" s="11">
        <f t="shared" ca="1" si="21"/>
        <v>246.47481033160773</v>
      </c>
      <c r="AT22" s="11">
        <f t="shared" ca="1" si="21"/>
        <v>395.13951219726795</v>
      </c>
      <c r="AU22" s="11">
        <f t="shared" ca="1" si="21"/>
        <v>494.9475861068795</v>
      </c>
      <c r="AV22" s="11">
        <f t="shared" ca="1" si="21"/>
        <v>433.95909124944041</v>
      </c>
      <c r="AW22" s="11">
        <f t="shared" ca="1" si="21"/>
        <v>252.63668058989791</v>
      </c>
      <c r="AX22" s="11">
        <f t="shared" ca="1" si="21"/>
        <v>405.01800000219959</v>
      </c>
      <c r="AY22" s="11">
        <f t="shared" ca="1" si="21"/>
        <v>507.32127575955144</v>
      </c>
      <c r="AZ22" s="11">
        <f t="shared" ca="1" si="21"/>
        <v>444.80806853067639</v>
      </c>
      <c r="BA22" s="11">
        <f t="shared" ca="1" si="21"/>
        <v>258.95259760464535</v>
      </c>
      <c r="BB22" s="8" t="s">
        <v>75</v>
      </c>
    </row>
    <row r="23" spans="2:54" x14ac:dyDescent="0.2">
      <c r="B23" s="19"/>
      <c r="C23" s="19"/>
      <c r="D23" s="19"/>
      <c r="E23" s="11"/>
      <c r="F23" s="69"/>
      <c r="G23" s="69"/>
      <c r="H23" s="69"/>
      <c r="I23" s="69"/>
      <c r="J23" s="69"/>
      <c r="K23" s="69"/>
      <c r="L23" s="69"/>
      <c r="M23" s="69"/>
      <c r="N23" s="69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BB23" s="8" t="s">
        <v>75</v>
      </c>
    </row>
    <row r="24" spans="2:54" s="25" customFormat="1" x14ac:dyDescent="0.2">
      <c r="B24" s="33" t="s">
        <v>202</v>
      </c>
      <c r="C24" s="45" t="s">
        <v>177</v>
      </c>
      <c r="D24" s="33"/>
      <c r="E24" s="11"/>
      <c r="F24" s="11"/>
      <c r="G24" s="27"/>
      <c r="H24" s="30">
        <f t="shared" ref="H24:N24" si="22">+H16/G16-1</f>
        <v>-0.13334314050629525</v>
      </c>
      <c r="I24" s="30">
        <f t="shared" ca="1" si="22"/>
        <v>7.9713436557758532E-2</v>
      </c>
      <c r="J24" s="30">
        <f t="shared" ca="1" si="22"/>
        <v>3.7340918104951548E-2</v>
      </c>
      <c r="K24" s="30">
        <f t="shared" ca="1" si="22"/>
        <v>2.037796380720347E-2</v>
      </c>
      <c r="L24" s="30">
        <f t="shared" ca="1" si="22"/>
        <v>2.0424973176305761E-2</v>
      </c>
      <c r="M24" s="30">
        <f t="shared" ca="1" si="22"/>
        <v>2.0471713047606199E-2</v>
      </c>
      <c r="N24" s="30">
        <f t="shared" ca="1" si="22"/>
        <v>2.0518180696788679E-2</v>
      </c>
      <c r="V24" s="30">
        <f t="shared" ref="V24:BA24" si="23">+IFERROR(V16/R16-1,0)</f>
        <v>0.36929357372475424</v>
      </c>
      <c r="W24" s="30">
        <f t="shared" si="23"/>
        <v>2.9828150628876671E-2</v>
      </c>
      <c r="X24" s="30">
        <f t="shared" si="23"/>
        <v>0.18664731087436492</v>
      </c>
      <c r="Y24" s="30">
        <f t="shared" si="23"/>
        <v>-0.42175937859133916</v>
      </c>
      <c r="Z24" s="30">
        <f t="shared" si="23"/>
        <v>-0.23247432665743617</v>
      </c>
      <c r="AA24" s="30">
        <f t="shared" si="23"/>
        <v>-3.163029437003062E-2</v>
      </c>
      <c r="AB24" s="30">
        <f t="shared" si="23"/>
        <v>-0.16371812371006833</v>
      </c>
      <c r="AC24" s="30">
        <f t="shared" si="23"/>
        <v>-8.3899376159160766E-2</v>
      </c>
      <c r="AD24" s="30">
        <f t="shared" ca="1" si="23"/>
        <v>7.7049569174027166E-2</v>
      </c>
      <c r="AE24" s="30">
        <f t="shared" ca="1" si="23"/>
        <v>8.4635976856925366E-2</v>
      </c>
      <c r="AF24" s="30">
        <f t="shared" ca="1" si="23"/>
        <v>8.5281081144700011E-2</v>
      </c>
      <c r="AG24" s="30">
        <f t="shared" ca="1" si="23"/>
        <v>5.7736215969446558E-2</v>
      </c>
      <c r="AH24" s="30">
        <f t="shared" ca="1" si="23"/>
        <v>3.8447326681914307E-2</v>
      </c>
      <c r="AI24" s="30">
        <f t="shared" ca="1" si="23"/>
        <v>3.5310694376600837E-2</v>
      </c>
      <c r="AJ24" s="30">
        <f t="shared" ca="1" si="23"/>
        <v>3.5045996278269431E-2</v>
      </c>
      <c r="AK24" s="30">
        <f t="shared" ca="1" si="23"/>
        <v>4.6635589013387824E-2</v>
      </c>
      <c r="AL24" s="30">
        <f t="shared" ca="1" si="23"/>
        <v>2.0786425650296536E-2</v>
      </c>
      <c r="AM24" s="30">
        <f t="shared" ca="1" si="23"/>
        <v>1.9626178851351872E-2</v>
      </c>
      <c r="AN24" s="30">
        <f t="shared" ca="1" si="23"/>
        <v>1.9527944719392565E-2</v>
      </c>
      <c r="AO24" s="30">
        <f t="shared" ca="1" si="23"/>
        <v>2.378250780447777E-2</v>
      </c>
      <c r="AP24" s="30">
        <f t="shared" ca="1" si="23"/>
        <v>2.0830949563725332E-2</v>
      </c>
      <c r="AQ24" s="30">
        <f t="shared" ca="1" si="23"/>
        <v>1.9676912507043509E-2</v>
      </c>
      <c r="AR24" s="30">
        <f t="shared" ca="1" si="23"/>
        <v>1.9579083523861618E-2</v>
      </c>
      <c r="AS24" s="30">
        <f t="shared" ca="1" si="23"/>
        <v>2.3798898097883825E-2</v>
      </c>
      <c r="AT24" s="30">
        <f t="shared" ca="1" si="23"/>
        <v>2.0875182915999435E-2</v>
      </c>
      <c r="AU24" s="30">
        <f t="shared" ca="1" si="23"/>
        <v>1.9727429539747821E-2</v>
      </c>
      <c r="AV24" s="30">
        <f t="shared" ca="1" si="23"/>
        <v>1.9630013768057397E-2</v>
      </c>
      <c r="AW24" s="30">
        <f t="shared" ca="1" si="23"/>
        <v>2.3815086709517486E-2</v>
      </c>
      <c r="AX24" s="30">
        <f t="shared" ca="1" si="23"/>
        <v>2.0919123782653593E-2</v>
      </c>
      <c r="AY24" s="30">
        <f t="shared" ca="1" si="23"/>
        <v>1.9777725879886798E-2</v>
      </c>
      <c r="AZ24" s="30">
        <f t="shared" ca="1" si="23"/>
        <v>1.9680731225026449E-2</v>
      </c>
      <c r="BA24" s="30">
        <f t="shared" ca="1" si="23"/>
        <v>2.3831075612263719E-2</v>
      </c>
      <c r="BB24" s="8" t="s">
        <v>75</v>
      </c>
    </row>
    <row r="25" spans="2:54" s="25" customFormat="1" x14ac:dyDescent="0.2">
      <c r="B25" s="26" t="s">
        <v>13</v>
      </c>
      <c r="C25" s="45" t="s">
        <v>177</v>
      </c>
      <c r="D25" s="26"/>
      <c r="E25" s="11"/>
      <c r="F25" s="11"/>
      <c r="G25" s="27"/>
      <c r="H25" s="30">
        <f t="shared" ref="H25:N25" si="24">+SUM(H17:H18)/SUM(G17:G18)-1</f>
        <v>0.17938822479191807</v>
      </c>
      <c r="I25" s="30">
        <f t="shared" ca="1" si="24"/>
        <v>8.4666997783509501E-2</v>
      </c>
      <c r="J25" s="30">
        <f t="shared" ca="1" si="24"/>
        <v>3.5297958716360656E-2</v>
      </c>
      <c r="K25" s="30">
        <f t="shared" ca="1" si="24"/>
        <v>1.962145357353684E-2</v>
      </c>
      <c r="L25" s="30">
        <f t="shared" ca="1" si="24"/>
        <v>1.9672207149340704E-2</v>
      </c>
      <c r="M25" s="30">
        <f t="shared" ca="1" si="24"/>
        <v>1.9722744484514942E-2</v>
      </c>
      <c r="N25" s="30">
        <f t="shared" ca="1" si="24"/>
        <v>1.9773061501796363E-2</v>
      </c>
      <c r="V25" s="30">
        <f t="shared" ref="V25:AC28" si="25">+IFERROR(V17/R17-1,0)</f>
        <v>-0.30311988410849511</v>
      </c>
      <c r="W25" s="30">
        <f t="shared" si="25"/>
        <v>0.16118453186708903</v>
      </c>
      <c r="X25" s="30">
        <f t="shared" si="25"/>
        <v>-0.11507541826889589</v>
      </c>
      <c r="Y25" s="30">
        <f t="shared" si="25"/>
        <v>-1</v>
      </c>
      <c r="Z25" s="30">
        <f t="shared" si="25"/>
        <v>4.2800405610951442E-2</v>
      </c>
      <c r="AA25" s="30">
        <f t="shared" si="25"/>
        <v>0.32741836624322485</v>
      </c>
      <c r="AB25" s="30">
        <f t="shared" si="25"/>
        <v>0.42642889868850586</v>
      </c>
      <c r="AC25" s="30">
        <f t="shared" si="25"/>
        <v>0</v>
      </c>
      <c r="AD25" s="86">
        <f ca="1">+SUMIFS(Drivers!$29:$29,Drivers!$3:$3,North!AD$3)</f>
        <v>0.15</v>
      </c>
      <c r="AE25" s="86">
        <f ca="1">+SUMIFS(Drivers!$29:$29,Drivers!$3:$3,North!AE$3)</f>
        <v>0.15</v>
      </c>
      <c r="AF25" s="86">
        <f ca="1">+SUMIFS(Drivers!$29:$29,Drivers!$3:$3,North!AF$3)</f>
        <v>0.15</v>
      </c>
      <c r="AG25" s="86">
        <f ca="1">+SUMIFS(Drivers!$29:$29,Drivers!$3:$3,North!AG$3)</f>
        <v>0.15</v>
      </c>
      <c r="AH25" s="86">
        <f ca="1">+SUMIFS(Drivers!$29:$29,Drivers!$3:$3,North!AH$3)</f>
        <v>0.01</v>
      </c>
      <c r="AI25" s="86">
        <f ca="1">+SUMIFS(Drivers!$29:$29,Drivers!$3:$3,North!AI$3)</f>
        <v>0.01</v>
      </c>
      <c r="AJ25" s="86">
        <f ca="1">+SUMIFS(Drivers!$29:$29,Drivers!$3:$3,North!AJ$3)</f>
        <v>0.01</v>
      </c>
      <c r="AK25" s="86">
        <f ca="1">+SUMIFS(Drivers!$29:$29,Drivers!$3:$3,North!AK$3)</f>
        <v>0.01</v>
      </c>
      <c r="AL25" s="86">
        <f ca="1">+SUMIFS(Drivers!$29:$29,Drivers!$3:$3,North!AL$3)</f>
        <v>0.01</v>
      </c>
      <c r="AM25" s="86">
        <f ca="1">+SUMIFS(Drivers!$29:$29,Drivers!$3:$3,North!AM$3)</f>
        <v>0.01</v>
      </c>
      <c r="AN25" s="86">
        <f ca="1">+SUMIFS(Drivers!$29:$29,Drivers!$3:$3,North!AN$3)</f>
        <v>0.01</v>
      </c>
      <c r="AO25" s="86">
        <f ca="1">+SUMIFS(Drivers!$29:$29,Drivers!$3:$3,North!AO$3)</f>
        <v>0.01</v>
      </c>
      <c r="AP25" s="86">
        <f ca="1">+SUMIFS(Drivers!$29:$29,Drivers!$3:$3,North!AP$3)</f>
        <v>0.01</v>
      </c>
      <c r="AQ25" s="86">
        <f ca="1">+SUMIFS(Drivers!$29:$29,Drivers!$3:$3,North!AQ$3)</f>
        <v>0.01</v>
      </c>
      <c r="AR25" s="86">
        <f ca="1">+SUMIFS(Drivers!$29:$29,Drivers!$3:$3,North!AR$3)</f>
        <v>0.01</v>
      </c>
      <c r="AS25" s="86">
        <f ca="1">+SUMIFS(Drivers!$29:$29,Drivers!$3:$3,North!AS$3)</f>
        <v>0.01</v>
      </c>
      <c r="AT25" s="86">
        <f ca="1">+SUMIFS(Drivers!$29:$29,Drivers!$3:$3,North!AT$3)</f>
        <v>0.01</v>
      </c>
      <c r="AU25" s="86">
        <f ca="1">+SUMIFS(Drivers!$29:$29,Drivers!$3:$3,North!AU$3)</f>
        <v>0.01</v>
      </c>
      <c r="AV25" s="86">
        <f ca="1">+SUMIFS(Drivers!$29:$29,Drivers!$3:$3,North!AV$3)</f>
        <v>0.01</v>
      </c>
      <c r="AW25" s="86">
        <f ca="1">+SUMIFS(Drivers!$29:$29,Drivers!$3:$3,North!AW$3)</f>
        <v>0.01</v>
      </c>
      <c r="AX25" s="86">
        <f ca="1">+SUMIFS(Drivers!$29:$29,Drivers!$3:$3,North!AX$3)</f>
        <v>0.01</v>
      </c>
      <c r="AY25" s="86">
        <f ca="1">+SUMIFS(Drivers!$29:$29,Drivers!$3:$3,North!AY$3)</f>
        <v>0.01</v>
      </c>
      <c r="AZ25" s="86">
        <f ca="1">+SUMIFS(Drivers!$29:$29,Drivers!$3:$3,North!AZ$3)</f>
        <v>0.01</v>
      </c>
      <c r="BA25" s="86">
        <f ca="1">+SUMIFS(Drivers!$29:$29,Drivers!$3:$3,North!BA$3)</f>
        <v>0.01</v>
      </c>
      <c r="BB25" s="8" t="s">
        <v>75</v>
      </c>
    </row>
    <row r="26" spans="2:54" s="25" customFormat="1" x14ac:dyDescent="0.2">
      <c r="B26" s="26" t="s">
        <v>11</v>
      </c>
      <c r="C26" s="45" t="s">
        <v>177</v>
      </c>
      <c r="D26" s="26"/>
      <c r="E26" s="11"/>
      <c r="F26" s="11"/>
      <c r="G26" s="27"/>
      <c r="H26" s="30">
        <f t="shared" ref="H26:N28" si="26">+H17/G17-1</f>
        <v>0.32268484268757569</v>
      </c>
      <c r="I26" s="30">
        <f t="shared" ca="1" si="26"/>
        <v>0.14999999999999991</v>
      </c>
      <c r="J26" s="30">
        <f t="shared" ca="1" si="26"/>
        <v>1.0000000000000009E-2</v>
      </c>
      <c r="K26" s="30">
        <f t="shared" ca="1" si="26"/>
        <v>1.0000000000000009E-2</v>
      </c>
      <c r="L26" s="30">
        <f t="shared" ca="1" si="26"/>
        <v>9.9999999999997868E-3</v>
      </c>
      <c r="M26" s="30">
        <f t="shared" ca="1" si="26"/>
        <v>1.0000000000000009E-2</v>
      </c>
      <c r="N26" s="30">
        <f t="shared" ca="1" si="26"/>
        <v>1.0000000000000009E-2</v>
      </c>
      <c r="V26" s="30">
        <f t="shared" si="25"/>
        <v>0.24688298132633246</v>
      </c>
      <c r="W26" s="30">
        <f t="shared" si="25"/>
        <v>-0.24673397173813361</v>
      </c>
      <c r="X26" s="30">
        <f t="shared" si="25"/>
        <v>1.47259798132926E-2</v>
      </c>
      <c r="Y26" s="30">
        <f t="shared" si="25"/>
        <v>0</v>
      </c>
      <c r="Z26" s="30">
        <f t="shared" si="25"/>
        <v>-0.20301071183311237</v>
      </c>
      <c r="AA26" s="30">
        <f t="shared" si="25"/>
        <v>0.2550692211550678</v>
      </c>
      <c r="AB26" s="30">
        <f t="shared" si="25"/>
        <v>0.40744207025925738</v>
      </c>
      <c r="AC26" s="30">
        <f t="shared" si="25"/>
        <v>4.5851243297469368E-2</v>
      </c>
      <c r="AD26" s="30">
        <f t="shared" ref="AD26:AM28" ca="1" si="27">+IFERROR(AD18/Z18-1,0)</f>
        <v>5.0000000000000044E-2</v>
      </c>
      <c r="AE26" s="30">
        <f t="shared" ca="1" si="27"/>
        <v>5.0000000000000044E-2</v>
      </c>
      <c r="AF26" s="30">
        <f t="shared" ca="1" si="27"/>
        <v>5.0000000000000044E-2</v>
      </c>
      <c r="AG26" s="30">
        <f t="shared" ca="1" si="27"/>
        <v>5.0000000000000044E-2</v>
      </c>
      <c r="AH26" s="30">
        <f t="shared" ca="1" si="27"/>
        <v>5.0000000000000044E-2</v>
      </c>
      <c r="AI26" s="30">
        <f t="shared" ca="1" si="27"/>
        <v>5.0000000000000044E-2</v>
      </c>
      <c r="AJ26" s="30">
        <f t="shared" ca="1" si="27"/>
        <v>5.0000000000000044E-2</v>
      </c>
      <c r="AK26" s="30">
        <f t="shared" ca="1" si="27"/>
        <v>5.0000000000000044E-2</v>
      </c>
      <c r="AL26" s="30">
        <f t="shared" ca="1" si="27"/>
        <v>2.4999999999999911E-2</v>
      </c>
      <c r="AM26" s="30">
        <f t="shared" ca="1" si="27"/>
        <v>2.4999999999999911E-2</v>
      </c>
      <c r="AN26" s="30">
        <f t="shared" ref="AN26:AW28" ca="1" si="28">+IFERROR(AN18/AJ18-1,0)</f>
        <v>2.4999999999999911E-2</v>
      </c>
      <c r="AO26" s="30">
        <f t="shared" ca="1" si="28"/>
        <v>2.4999999999999911E-2</v>
      </c>
      <c r="AP26" s="30">
        <f t="shared" ca="1" si="28"/>
        <v>2.4999999999999911E-2</v>
      </c>
      <c r="AQ26" s="30">
        <f t="shared" ca="1" si="28"/>
        <v>2.4999999999999911E-2</v>
      </c>
      <c r="AR26" s="30">
        <f t="shared" ca="1" si="28"/>
        <v>2.4999999999999911E-2</v>
      </c>
      <c r="AS26" s="30">
        <f t="shared" ca="1" si="28"/>
        <v>2.4999999999999911E-2</v>
      </c>
      <c r="AT26" s="30">
        <f t="shared" ca="1" si="28"/>
        <v>2.4999999999999911E-2</v>
      </c>
      <c r="AU26" s="30">
        <f t="shared" ca="1" si="28"/>
        <v>2.4999999999999911E-2</v>
      </c>
      <c r="AV26" s="30">
        <f t="shared" ca="1" si="28"/>
        <v>2.4999999999999911E-2</v>
      </c>
      <c r="AW26" s="30">
        <f t="shared" ca="1" si="28"/>
        <v>2.4999999999999911E-2</v>
      </c>
      <c r="AX26" s="30">
        <f t="shared" ref="AX26:BA28" ca="1" si="29">+IFERROR(AX18/AT18-1,0)</f>
        <v>2.4999999999999911E-2</v>
      </c>
      <c r="AY26" s="30">
        <f t="shared" ca="1" si="29"/>
        <v>2.4999999999999911E-2</v>
      </c>
      <c r="AZ26" s="30">
        <f t="shared" ca="1" si="29"/>
        <v>2.4999999999999911E-2</v>
      </c>
      <c r="BA26" s="30">
        <f t="shared" ca="1" si="29"/>
        <v>2.4999999999999911E-2</v>
      </c>
      <c r="BB26" s="8" t="s">
        <v>75</v>
      </c>
    </row>
    <row r="27" spans="2:54" s="25" customFormat="1" x14ac:dyDescent="0.2">
      <c r="B27" s="26" t="s">
        <v>12</v>
      </c>
      <c r="C27" s="45" t="s">
        <v>177</v>
      </c>
      <c r="D27" s="26"/>
      <c r="E27" s="11"/>
      <c r="F27" s="11"/>
      <c r="G27" s="27"/>
      <c r="H27" s="30">
        <f t="shared" si="26"/>
        <v>0.11527534536984385</v>
      </c>
      <c r="I27" s="30">
        <f t="shared" ca="1" si="26"/>
        <v>5.0000000000000044E-2</v>
      </c>
      <c r="J27" s="30">
        <f t="shared" ca="1" si="26"/>
        <v>5.0000000000000044E-2</v>
      </c>
      <c r="K27" s="30">
        <f t="shared" ca="1" si="26"/>
        <v>2.4999999999999689E-2</v>
      </c>
      <c r="L27" s="30">
        <f t="shared" ca="1" si="26"/>
        <v>2.4999999999999911E-2</v>
      </c>
      <c r="M27" s="30">
        <f t="shared" ca="1" si="26"/>
        <v>2.4999999999999911E-2</v>
      </c>
      <c r="N27" s="30">
        <f t="shared" ca="1" si="26"/>
        <v>2.4999999999999911E-2</v>
      </c>
      <c r="V27" s="30">
        <f t="shared" si="25"/>
        <v>0</v>
      </c>
      <c r="W27" s="30">
        <f t="shared" si="25"/>
        <v>0.57139843981536131</v>
      </c>
      <c r="X27" s="30">
        <f t="shared" si="25"/>
        <v>-0.25431619344750112</v>
      </c>
      <c r="Y27" s="30">
        <f t="shared" si="25"/>
        <v>-0.55498318871761376</v>
      </c>
      <c r="Z27" s="30">
        <f t="shared" si="25"/>
        <v>0</v>
      </c>
      <c r="AA27" s="30">
        <f t="shared" si="25"/>
        <v>-0.44459177711140963</v>
      </c>
      <c r="AB27" s="30">
        <f t="shared" si="25"/>
        <v>-0.40569300596674851</v>
      </c>
      <c r="AC27" s="30">
        <f t="shared" si="25"/>
        <v>1.1582729060655161E-4</v>
      </c>
      <c r="AD27" s="30">
        <f t="shared" ca="1" si="27"/>
        <v>5.0000000000000044E-2</v>
      </c>
      <c r="AE27" s="30">
        <f t="shared" ca="1" si="27"/>
        <v>5.0000000000000044E-2</v>
      </c>
      <c r="AF27" s="30">
        <f t="shared" ca="1" si="27"/>
        <v>5.0000000000000044E-2</v>
      </c>
      <c r="AG27" s="30">
        <f t="shared" ca="1" si="27"/>
        <v>5.0000000000000044E-2</v>
      </c>
      <c r="AH27" s="30">
        <f t="shared" ca="1" si="27"/>
        <v>5.0000000000000044E-2</v>
      </c>
      <c r="AI27" s="30">
        <f t="shared" ca="1" si="27"/>
        <v>5.0000000000000044E-2</v>
      </c>
      <c r="AJ27" s="30">
        <f t="shared" ca="1" si="27"/>
        <v>5.0000000000000044E-2</v>
      </c>
      <c r="AK27" s="30">
        <f t="shared" ca="1" si="27"/>
        <v>5.0000000000000044E-2</v>
      </c>
      <c r="AL27" s="30">
        <f t="shared" ca="1" si="27"/>
        <v>2.4999999999999911E-2</v>
      </c>
      <c r="AM27" s="30">
        <f t="shared" ca="1" si="27"/>
        <v>2.4999999999999911E-2</v>
      </c>
      <c r="AN27" s="30">
        <f t="shared" ca="1" si="28"/>
        <v>2.4999999999999911E-2</v>
      </c>
      <c r="AO27" s="30">
        <f t="shared" ca="1" si="28"/>
        <v>2.4999999999999911E-2</v>
      </c>
      <c r="AP27" s="30">
        <f t="shared" ca="1" si="28"/>
        <v>2.4999999999999911E-2</v>
      </c>
      <c r="AQ27" s="30">
        <f t="shared" ca="1" si="28"/>
        <v>2.4999999999999911E-2</v>
      </c>
      <c r="AR27" s="30">
        <f t="shared" ca="1" si="28"/>
        <v>2.4999999999999911E-2</v>
      </c>
      <c r="AS27" s="30">
        <f t="shared" ca="1" si="28"/>
        <v>2.4999999999999911E-2</v>
      </c>
      <c r="AT27" s="30">
        <f t="shared" ca="1" si="28"/>
        <v>2.4999999999999911E-2</v>
      </c>
      <c r="AU27" s="30">
        <f t="shared" ca="1" si="28"/>
        <v>2.4999999999999911E-2</v>
      </c>
      <c r="AV27" s="30">
        <f t="shared" ca="1" si="28"/>
        <v>2.4999999999999911E-2</v>
      </c>
      <c r="AW27" s="30">
        <f t="shared" ca="1" si="28"/>
        <v>2.4999999999999911E-2</v>
      </c>
      <c r="AX27" s="30">
        <f t="shared" ca="1" si="29"/>
        <v>2.4999999999999911E-2</v>
      </c>
      <c r="AY27" s="30">
        <f t="shared" ca="1" si="29"/>
        <v>2.4999999999999911E-2</v>
      </c>
      <c r="AZ27" s="30">
        <f t="shared" ca="1" si="29"/>
        <v>2.4999999999999911E-2</v>
      </c>
      <c r="BA27" s="30">
        <f t="shared" ca="1" si="29"/>
        <v>2.4999999999999911E-2</v>
      </c>
      <c r="BB27" s="8" t="s">
        <v>75</v>
      </c>
    </row>
    <row r="28" spans="2:54" s="25" customFormat="1" x14ac:dyDescent="0.2">
      <c r="B28" s="26" t="s">
        <v>14</v>
      </c>
      <c r="C28" s="45" t="s">
        <v>177</v>
      </c>
      <c r="D28" s="26"/>
      <c r="E28" s="11"/>
      <c r="F28" s="11"/>
      <c r="G28" s="27"/>
      <c r="H28" s="30">
        <f t="shared" si="26"/>
        <v>-0.21335339177886625</v>
      </c>
      <c r="I28" s="30">
        <f t="shared" ca="1" si="26"/>
        <v>5.0000000000000044E-2</v>
      </c>
      <c r="J28" s="30">
        <f t="shared" ca="1" si="26"/>
        <v>5.0000000000000044E-2</v>
      </c>
      <c r="K28" s="30">
        <f t="shared" ca="1" si="26"/>
        <v>2.5000000000000133E-2</v>
      </c>
      <c r="L28" s="30">
        <f t="shared" ca="1" si="26"/>
        <v>2.4999999999999689E-2</v>
      </c>
      <c r="M28" s="30">
        <f t="shared" ca="1" si="26"/>
        <v>2.4999999999999911E-2</v>
      </c>
      <c r="N28" s="30">
        <f t="shared" ca="1" si="26"/>
        <v>2.4999999999999689E-2</v>
      </c>
      <c r="V28" s="30">
        <f t="shared" si="25"/>
        <v>12.443837501661587</v>
      </c>
      <c r="W28" s="30">
        <f t="shared" si="25"/>
        <v>1.2740563753416851</v>
      </c>
      <c r="X28" s="30">
        <f t="shared" si="25"/>
        <v>1.5590477719927973</v>
      </c>
      <c r="Y28" s="30">
        <f t="shared" si="25"/>
        <v>-0.26056707152900349</v>
      </c>
      <c r="Z28" s="30">
        <f t="shared" si="25"/>
        <v>-0.61636818117773906</v>
      </c>
      <c r="AA28" s="30">
        <f t="shared" si="25"/>
        <v>-0.97995766699172893</v>
      </c>
      <c r="AB28" s="30">
        <f t="shared" si="25"/>
        <v>-0.97394110031703141</v>
      </c>
      <c r="AC28" s="30">
        <f t="shared" si="25"/>
        <v>-0.44471951913143914</v>
      </c>
      <c r="AD28" s="30">
        <f t="shared" ca="1" si="27"/>
        <v>5.0000000000000044E-2</v>
      </c>
      <c r="AE28" s="30">
        <f t="shared" ca="1" si="27"/>
        <v>5.0000000000000044E-2</v>
      </c>
      <c r="AF28" s="30">
        <f t="shared" ca="1" si="27"/>
        <v>5.0000000000000044E-2</v>
      </c>
      <c r="AG28" s="30">
        <f t="shared" ca="1" si="27"/>
        <v>5.0000000000000044E-2</v>
      </c>
      <c r="AH28" s="30">
        <f t="shared" ca="1" si="27"/>
        <v>5.0000000000000044E-2</v>
      </c>
      <c r="AI28" s="30">
        <f t="shared" ca="1" si="27"/>
        <v>5.0000000000000044E-2</v>
      </c>
      <c r="AJ28" s="30">
        <f t="shared" ca="1" si="27"/>
        <v>5.0000000000000044E-2</v>
      </c>
      <c r="AK28" s="30">
        <f t="shared" ca="1" si="27"/>
        <v>5.0000000000000044E-2</v>
      </c>
      <c r="AL28" s="30">
        <f t="shared" ca="1" si="27"/>
        <v>2.4999999999999911E-2</v>
      </c>
      <c r="AM28" s="30">
        <f t="shared" ca="1" si="27"/>
        <v>2.4999999999999911E-2</v>
      </c>
      <c r="AN28" s="30">
        <f t="shared" ca="1" si="28"/>
        <v>2.4999999999999911E-2</v>
      </c>
      <c r="AO28" s="30">
        <f t="shared" ca="1" si="28"/>
        <v>2.4999999999999911E-2</v>
      </c>
      <c r="AP28" s="30">
        <f t="shared" ca="1" si="28"/>
        <v>2.4999999999999911E-2</v>
      </c>
      <c r="AQ28" s="30">
        <f t="shared" ca="1" si="28"/>
        <v>2.4999999999999911E-2</v>
      </c>
      <c r="AR28" s="30">
        <f t="shared" ca="1" si="28"/>
        <v>2.4999999999999911E-2</v>
      </c>
      <c r="AS28" s="30">
        <f t="shared" ca="1" si="28"/>
        <v>2.4999999999999911E-2</v>
      </c>
      <c r="AT28" s="30">
        <f t="shared" ca="1" si="28"/>
        <v>2.4999999999999911E-2</v>
      </c>
      <c r="AU28" s="30">
        <f t="shared" ca="1" si="28"/>
        <v>2.4999999999999911E-2</v>
      </c>
      <c r="AV28" s="30">
        <f t="shared" ca="1" si="28"/>
        <v>2.4999999999999911E-2</v>
      </c>
      <c r="AW28" s="30">
        <f t="shared" ca="1" si="28"/>
        <v>2.4999999999999911E-2</v>
      </c>
      <c r="AX28" s="30">
        <f t="shared" ca="1" si="29"/>
        <v>2.4999999999999911E-2</v>
      </c>
      <c r="AY28" s="30">
        <f t="shared" ca="1" si="29"/>
        <v>2.4999999999999911E-2</v>
      </c>
      <c r="AZ28" s="30">
        <f t="shared" ca="1" si="29"/>
        <v>2.4999999999999911E-2</v>
      </c>
      <c r="BA28" s="30">
        <f t="shared" ca="1" si="29"/>
        <v>2.4999999999999911E-2</v>
      </c>
      <c r="BB28" s="8" t="s">
        <v>75</v>
      </c>
    </row>
    <row r="29" spans="2:54" s="25" customFormat="1" x14ac:dyDescent="0.2">
      <c r="B29" s="26" t="s">
        <v>247</v>
      </c>
      <c r="C29" s="45" t="s">
        <v>177</v>
      </c>
      <c r="D29" s="26"/>
      <c r="E29" s="11"/>
      <c r="F29" s="11"/>
      <c r="G29" s="27"/>
      <c r="H29" s="30">
        <f t="shared" ref="H29:N29" si="30">+H22/G22-1</f>
        <v>-0.24359149004159064</v>
      </c>
      <c r="I29" s="30">
        <f t="shared" ca="1" si="30"/>
        <v>5.0000000000000044E-2</v>
      </c>
      <c r="J29" s="30">
        <f t="shared" ca="1" si="30"/>
        <v>5.0000000000000044E-2</v>
      </c>
      <c r="K29" s="30">
        <f t="shared" ca="1" si="30"/>
        <v>2.5000000000000133E-2</v>
      </c>
      <c r="L29" s="30">
        <f t="shared" ca="1" si="30"/>
        <v>2.4999999999999689E-2</v>
      </c>
      <c r="M29" s="30">
        <f t="shared" ca="1" si="30"/>
        <v>2.4999999999999911E-2</v>
      </c>
      <c r="N29" s="30">
        <f t="shared" ca="1" si="30"/>
        <v>2.4999999999999911E-2</v>
      </c>
      <c r="V29" s="30">
        <f t="shared" ref="V29:AC29" si="31">+IFERROR(V22/R22-1,0)</f>
        <v>0.80135650131145453</v>
      </c>
      <c r="W29" s="30">
        <f t="shared" si="31"/>
        <v>-8.1089985244396923E-3</v>
      </c>
      <c r="X29" s="30">
        <f t="shared" si="31"/>
        <v>0.30245889910488444</v>
      </c>
      <c r="Y29" s="30">
        <f t="shared" si="31"/>
        <v>8.4089800745345888E-2</v>
      </c>
      <c r="Z29" s="30">
        <f t="shared" si="31"/>
        <v>-0.30090256472637611</v>
      </c>
      <c r="AA29" s="30">
        <f t="shared" si="31"/>
        <v>-0.15302622231413743</v>
      </c>
      <c r="AB29" s="30">
        <f t="shared" si="31"/>
        <v>-0.31762089574340446</v>
      </c>
      <c r="AC29" s="30">
        <f t="shared" si="31"/>
        <v>-0.15477089891693308</v>
      </c>
      <c r="AD29" s="86">
        <f ca="1">+SUMIFS(Drivers!$32:$32,Drivers!$3:$3,North!AD$3)</f>
        <v>0.05</v>
      </c>
      <c r="AE29" s="86">
        <f ca="1">+SUMIFS(Drivers!$32:$32,Drivers!$3:$3,North!AE$3)</f>
        <v>0.05</v>
      </c>
      <c r="AF29" s="86">
        <f ca="1">+SUMIFS(Drivers!$32:$32,Drivers!$3:$3,North!AF$3)</f>
        <v>0.05</v>
      </c>
      <c r="AG29" s="86">
        <f ca="1">+SUMIFS(Drivers!$32:$32,Drivers!$3:$3,North!AG$3)</f>
        <v>0.05</v>
      </c>
      <c r="AH29" s="86">
        <f ca="1">+SUMIFS(Drivers!$32:$32,Drivers!$3:$3,North!AH$3)</f>
        <v>0.05</v>
      </c>
      <c r="AI29" s="86">
        <f ca="1">+SUMIFS(Drivers!$32:$32,Drivers!$3:$3,North!AI$3)</f>
        <v>0.05</v>
      </c>
      <c r="AJ29" s="86">
        <f ca="1">+SUMIFS(Drivers!$32:$32,Drivers!$3:$3,North!AJ$3)</f>
        <v>0.05</v>
      </c>
      <c r="AK29" s="86">
        <f ca="1">+SUMIFS(Drivers!$32:$32,Drivers!$3:$3,North!AK$3)</f>
        <v>0.05</v>
      </c>
      <c r="AL29" s="86">
        <f ca="1">+SUMIFS(Drivers!$32:$32,Drivers!$3:$3,North!AL$3)</f>
        <v>2.5000000000000001E-2</v>
      </c>
      <c r="AM29" s="86">
        <f ca="1">+SUMIFS(Drivers!$32:$32,Drivers!$3:$3,North!AM$3)</f>
        <v>2.5000000000000001E-2</v>
      </c>
      <c r="AN29" s="86">
        <f ca="1">+SUMIFS(Drivers!$32:$32,Drivers!$3:$3,North!AN$3)</f>
        <v>2.5000000000000001E-2</v>
      </c>
      <c r="AO29" s="86">
        <f ca="1">+SUMIFS(Drivers!$32:$32,Drivers!$3:$3,North!AO$3)</f>
        <v>2.5000000000000001E-2</v>
      </c>
      <c r="AP29" s="86">
        <f ca="1">+SUMIFS(Drivers!$32:$32,Drivers!$3:$3,North!AP$3)</f>
        <v>2.5000000000000001E-2</v>
      </c>
      <c r="AQ29" s="86">
        <f ca="1">+SUMIFS(Drivers!$32:$32,Drivers!$3:$3,North!AQ$3)</f>
        <v>2.5000000000000001E-2</v>
      </c>
      <c r="AR29" s="86">
        <f ca="1">+SUMIFS(Drivers!$32:$32,Drivers!$3:$3,North!AR$3)</f>
        <v>2.5000000000000001E-2</v>
      </c>
      <c r="AS29" s="86">
        <f ca="1">+SUMIFS(Drivers!$32:$32,Drivers!$3:$3,North!AS$3)</f>
        <v>2.5000000000000001E-2</v>
      </c>
      <c r="AT29" s="86">
        <f ca="1">+SUMIFS(Drivers!$32:$32,Drivers!$3:$3,North!AT$3)</f>
        <v>2.5000000000000001E-2</v>
      </c>
      <c r="AU29" s="86">
        <f ca="1">+SUMIFS(Drivers!$32:$32,Drivers!$3:$3,North!AU$3)</f>
        <v>2.5000000000000001E-2</v>
      </c>
      <c r="AV29" s="86">
        <f ca="1">+SUMIFS(Drivers!$32:$32,Drivers!$3:$3,North!AV$3)</f>
        <v>2.5000000000000001E-2</v>
      </c>
      <c r="AW29" s="86">
        <f ca="1">+SUMIFS(Drivers!$32:$32,Drivers!$3:$3,North!AW$3)</f>
        <v>2.5000000000000001E-2</v>
      </c>
      <c r="AX29" s="86">
        <f ca="1">+SUMIFS(Drivers!$32:$32,Drivers!$3:$3,North!AX$3)</f>
        <v>2.5000000000000001E-2</v>
      </c>
      <c r="AY29" s="86">
        <f ca="1">+SUMIFS(Drivers!$32:$32,Drivers!$3:$3,North!AY$3)</f>
        <v>2.5000000000000001E-2</v>
      </c>
      <c r="AZ29" s="86">
        <f ca="1">+SUMIFS(Drivers!$32:$32,Drivers!$3:$3,North!AZ$3)</f>
        <v>2.5000000000000001E-2</v>
      </c>
      <c r="BA29" s="86">
        <f ca="1">+SUMIFS(Drivers!$32:$32,Drivers!$3:$3,North!BA$3)</f>
        <v>2.5000000000000001E-2</v>
      </c>
      <c r="BB29" s="8" t="s">
        <v>75</v>
      </c>
    </row>
    <row r="30" spans="2:54" s="25" customFormat="1" x14ac:dyDescent="0.2">
      <c r="B30" s="26"/>
      <c r="C30" s="26"/>
      <c r="D30" s="26"/>
      <c r="E30" s="11"/>
      <c r="F30" s="11"/>
      <c r="G30" s="27"/>
      <c r="O30" s="27"/>
      <c r="S30" s="28"/>
      <c r="T30" s="28"/>
      <c r="U30" s="28"/>
      <c r="W30" s="28"/>
      <c r="X30" s="28"/>
      <c r="Y30" s="28"/>
      <c r="Z30" s="28"/>
      <c r="AA30" s="28"/>
      <c r="AB30" s="28"/>
      <c r="AC30" s="28"/>
      <c r="BB30" s="8" t="s">
        <v>75</v>
      </c>
    </row>
    <row r="31" spans="2:54" s="25" customFormat="1" x14ac:dyDescent="0.2">
      <c r="B31" s="26"/>
      <c r="C31" s="26"/>
      <c r="D31" s="26"/>
      <c r="E31" s="11"/>
      <c r="F31" s="11"/>
      <c r="G31" s="27"/>
      <c r="O31" s="27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BB31" s="8" t="s">
        <v>75</v>
      </c>
    </row>
    <row r="32" spans="2:54" s="25" customFormat="1" x14ac:dyDescent="0.2">
      <c r="B32" s="33" t="s">
        <v>203</v>
      </c>
      <c r="C32" s="45" t="s">
        <v>177</v>
      </c>
      <c r="D32" s="33"/>
      <c r="E32" s="11"/>
      <c r="F32" s="11"/>
      <c r="G32" s="27"/>
      <c r="H32" s="115" t="s">
        <v>147</v>
      </c>
      <c r="I32" s="115" t="s">
        <v>147</v>
      </c>
      <c r="J32" s="115" t="s">
        <v>147</v>
      </c>
      <c r="K32" s="115" t="s">
        <v>147</v>
      </c>
      <c r="L32" s="115" t="s">
        <v>147</v>
      </c>
      <c r="M32" s="115" t="s">
        <v>147</v>
      </c>
      <c r="N32" s="115" t="s">
        <v>147</v>
      </c>
      <c r="O32" s="27"/>
      <c r="S32" s="30">
        <f t="shared" ref="S32:BA32" si="32">+IFERROR(S16/R16-1,0)</f>
        <v>0.47326667267766531</v>
      </c>
      <c r="T32" s="30">
        <f t="shared" si="32"/>
        <v>-0.11012560351744072</v>
      </c>
      <c r="U32" s="30">
        <f t="shared" si="32"/>
        <v>-0.23498460566513002</v>
      </c>
      <c r="V32" s="30">
        <f t="shared" si="32"/>
        <v>0.36526299640044546</v>
      </c>
      <c r="W32" s="30">
        <f t="shared" si="32"/>
        <v>0.10802498603690802</v>
      </c>
      <c r="X32" s="30">
        <f t="shared" si="32"/>
        <v>2.5381816332306295E-2</v>
      </c>
      <c r="Y32" s="30">
        <f t="shared" si="32"/>
        <v>-0.62721612988661501</v>
      </c>
      <c r="Z32" s="30">
        <f t="shared" si="32"/>
        <v>0.81217707958530361</v>
      </c>
      <c r="AA32" s="30">
        <f t="shared" si="32"/>
        <v>0.39796995309148131</v>
      </c>
      <c r="AB32" s="30">
        <f t="shared" si="32"/>
        <v>-0.11448259451888743</v>
      </c>
      <c r="AC32" s="30">
        <f t="shared" si="32"/>
        <v>-0.59163585191666079</v>
      </c>
      <c r="AD32" s="30">
        <f t="shared" ca="1" si="32"/>
        <v>1.1305569410609841</v>
      </c>
      <c r="AE32" s="30">
        <f t="shared" ca="1" si="32"/>
        <v>0.40781682578530476</v>
      </c>
      <c r="AF32" s="30">
        <f t="shared" ca="1" si="32"/>
        <v>-0.11395591912975789</v>
      </c>
      <c r="AG32" s="30">
        <f t="shared" ca="1" si="32"/>
        <v>-0.60200029629589813</v>
      </c>
      <c r="AH32" s="30">
        <f t="shared" ca="1" si="32"/>
        <v>1.091704081211383</v>
      </c>
      <c r="AI32" s="30">
        <f t="shared" ca="1" si="32"/>
        <v>0.40356451214140399</v>
      </c>
      <c r="AJ32" s="30">
        <f t="shared" ca="1" si="32"/>
        <v>-0.11418245420229034</v>
      </c>
      <c r="AK32" s="30">
        <f t="shared" ca="1" si="32"/>
        <v>-0.59754382335535816</v>
      </c>
      <c r="AL32" s="30">
        <f t="shared" ca="1" si="32"/>
        <v>1.0400444576804788</v>
      </c>
      <c r="AM32" s="30">
        <f t="shared" ca="1" si="32"/>
        <v>0.40196919191436709</v>
      </c>
      <c r="AN32" s="30">
        <f t="shared" ca="1" si="32"/>
        <v>-0.11426779677145005</v>
      </c>
      <c r="AO32" s="30">
        <f t="shared" ca="1" si="32"/>
        <v>-0.5958643449247909</v>
      </c>
      <c r="AP32" s="30">
        <f t="shared" ca="1" si="32"/>
        <v>1.0341630229180496</v>
      </c>
      <c r="AQ32" s="30">
        <f t="shared" ca="1" si="32"/>
        <v>0.40038428267891812</v>
      </c>
      <c r="AR32" s="30">
        <f t="shared" ca="1" si="32"/>
        <v>-0.11435277494419316</v>
      </c>
      <c r="AS32" s="30">
        <f t="shared" ca="1" si="32"/>
        <v>-0.59419171594021591</v>
      </c>
      <c r="AT32" s="30">
        <f t="shared" ca="1" si="32"/>
        <v>1.0283539589274717</v>
      </c>
      <c r="AU32" s="30">
        <f t="shared" ca="1" si="32"/>
        <v>0.39880985338982189</v>
      </c>
      <c r="AV32" s="30">
        <f t="shared" ca="1" si="32"/>
        <v>-0.11443738187480512</v>
      </c>
      <c r="AW32" s="30">
        <f t="shared" ca="1" si="32"/>
        <v>-0.59252607522141965</v>
      </c>
      <c r="AX32" s="30">
        <f t="shared" ca="1" si="32"/>
        <v>1.0226165577660078</v>
      </c>
      <c r="AY32" s="30">
        <f t="shared" ca="1" si="32"/>
        <v>0.39724596983055127</v>
      </c>
      <c r="AZ32" s="30">
        <f t="shared" ca="1" si="32"/>
        <v>-0.11452161085757517</v>
      </c>
      <c r="BA32" s="30">
        <f t="shared" ca="1" si="32"/>
        <v>-0.59086755891836207</v>
      </c>
      <c r="BB32" s="8" t="s">
        <v>75</v>
      </c>
    </row>
    <row r="33" spans="1:57" s="25" customFormat="1" x14ac:dyDescent="0.2">
      <c r="B33" s="26" t="s">
        <v>13</v>
      </c>
      <c r="C33" s="45" t="s">
        <v>177</v>
      </c>
      <c r="D33" s="33"/>
      <c r="E33" s="11"/>
      <c r="F33" s="11"/>
      <c r="G33" s="27"/>
      <c r="H33" s="115" t="s">
        <v>147</v>
      </c>
      <c r="I33" s="115" t="s">
        <v>147</v>
      </c>
      <c r="J33" s="115" t="s">
        <v>147</v>
      </c>
      <c r="K33" s="115" t="s">
        <v>147</v>
      </c>
      <c r="L33" s="115" t="s">
        <v>147</v>
      </c>
      <c r="M33" s="115" t="s">
        <v>147</v>
      </c>
      <c r="N33" s="115" t="s">
        <v>147</v>
      </c>
      <c r="O33" s="27"/>
      <c r="S33" s="30">
        <f t="shared" ref="S33:BA33" si="33">+IFERROR(S17/R17-1,0)</f>
        <v>-0.15605309338452655</v>
      </c>
      <c r="T33" s="30">
        <f t="shared" si="33"/>
        <v>0.10144856748119535</v>
      </c>
      <c r="U33" s="30">
        <f t="shared" si="33"/>
        <v>0.28696318726916825</v>
      </c>
      <c r="V33" s="30">
        <f t="shared" si="33"/>
        <v>-0.41747763978518448</v>
      </c>
      <c r="W33" s="30">
        <f t="shared" si="33"/>
        <v>0.4062362683792462</v>
      </c>
      <c r="X33" s="30">
        <f t="shared" si="33"/>
        <v>-0.16059946879469278</v>
      </c>
      <c r="Y33" s="30">
        <f t="shared" si="33"/>
        <v>-1</v>
      </c>
      <c r="Z33" s="30">
        <f t="shared" si="33"/>
        <v>0</v>
      </c>
      <c r="AA33" s="30">
        <f t="shared" si="33"/>
        <v>0.79004902556622514</v>
      </c>
      <c r="AB33" s="30">
        <f t="shared" si="33"/>
        <v>-9.7989597149854557E-2</v>
      </c>
      <c r="AC33" s="30">
        <f t="shared" si="33"/>
        <v>-0.91045645027728284</v>
      </c>
      <c r="AD33" s="30">
        <f t="shared" ca="1" si="33"/>
        <v>6.9540270149086432</v>
      </c>
      <c r="AE33" s="30">
        <f t="shared" ca="1" si="33"/>
        <v>0.79004902556622492</v>
      </c>
      <c r="AF33" s="30">
        <f t="shared" ca="1" si="33"/>
        <v>-9.7989597149854557E-2</v>
      </c>
      <c r="AG33" s="30">
        <f t="shared" ca="1" si="33"/>
        <v>-0.91045645027728284</v>
      </c>
      <c r="AH33" s="30">
        <f t="shared" ca="1" si="33"/>
        <v>5.9857106826588966</v>
      </c>
      <c r="AI33" s="30">
        <f t="shared" ca="1" si="33"/>
        <v>0.79004902556622469</v>
      </c>
      <c r="AJ33" s="30">
        <f t="shared" ca="1" si="33"/>
        <v>-9.7989597149854446E-2</v>
      </c>
      <c r="AK33" s="30">
        <f t="shared" ca="1" si="33"/>
        <v>-0.91045645027728284</v>
      </c>
      <c r="AL33" s="30">
        <f t="shared" ca="1" si="33"/>
        <v>5.9857106826588957</v>
      </c>
      <c r="AM33" s="30">
        <f t="shared" ca="1" si="33"/>
        <v>0.79004902556622469</v>
      </c>
      <c r="AN33" s="30">
        <f t="shared" ca="1" si="33"/>
        <v>-9.7989597149854335E-2</v>
      </c>
      <c r="AO33" s="30">
        <f t="shared" ca="1" si="33"/>
        <v>-0.91045645027728284</v>
      </c>
      <c r="AP33" s="30">
        <f t="shared" ca="1" si="33"/>
        <v>5.9857106826588957</v>
      </c>
      <c r="AQ33" s="30">
        <f t="shared" ca="1" si="33"/>
        <v>0.79004902556622469</v>
      </c>
      <c r="AR33" s="30">
        <f t="shared" ca="1" si="33"/>
        <v>-9.7989597149854446E-2</v>
      </c>
      <c r="AS33" s="30">
        <f t="shared" ca="1" si="33"/>
        <v>-0.91045645027728284</v>
      </c>
      <c r="AT33" s="30">
        <f t="shared" ca="1" si="33"/>
        <v>5.9857106826588957</v>
      </c>
      <c r="AU33" s="30">
        <f t="shared" ca="1" si="33"/>
        <v>0.79004902556622447</v>
      </c>
      <c r="AV33" s="30">
        <f t="shared" ca="1" si="33"/>
        <v>-9.7989597149854224E-2</v>
      </c>
      <c r="AW33" s="30">
        <f t="shared" ca="1" si="33"/>
        <v>-0.91045645027728284</v>
      </c>
      <c r="AX33" s="30">
        <f t="shared" ca="1" si="33"/>
        <v>5.9857106826588957</v>
      </c>
      <c r="AY33" s="30">
        <f t="shared" ca="1" si="33"/>
        <v>0.79004902556622447</v>
      </c>
      <c r="AZ33" s="30">
        <f t="shared" ca="1" si="33"/>
        <v>-9.7989597149854224E-2</v>
      </c>
      <c r="BA33" s="30">
        <f t="shared" ca="1" si="33"/>
        <v>-0.91045645027728284</v>
      </c>
      <c r="BB33" s="8" t="s">
        <v>75</v>
      </c>
    </row>
    <row r="34" spans="1:57" s="25" customFormat="1" x14ac:dyDescent="0.2">
      <c r="B34" s="26" t="s">
        <v>11</v>
      </c>
      <c r="C34" s="45" t="s">
        <v>177</v>
      </c>
      <c r="D34" s="26"/>
      <c r="E34" s="11"/>
      <c r="F34" s="11"/>
      <c r="G34" s="27"/>
      <c r="H34" s="115" t="s">
        <v>147</v>
      </c>
      <c r="I34" s="115" t="s">
        <v>147</v>
      </c>
      <c r="J34" s="115" t="s">
        <v>147</v>
      </c>
      <c r="K34" s="115" t="s">
        <v>147</v>
      </c>
      <c r="L34" s="115" t="s">
        <v>147</v>
      </c>
      <c r="M34" s="115" t="s">
        <v>147</v>
      </c>
      <c r="N34" s="115" t="s">
        <v>147</v>
      </c>
      <c r="O34" s="27"/>
      <c r="S34" s="30">
        <f t="shared" ref="S34:BA34" si="34">+IFERROR(S18/R18-1,0)</f>
        <v>0.5791238603438349</v>
      </c>
      <c r="T34" s="30">
        <f t="shared" si="34"/>
        <v>-0.4433773362150516</v>
      </c>
      <c r="U34" s="30">
        <f t="shared" si="34"/>
        <v>-1</v>
      </c>
      <c r="V34" s="30">
        <f t="shared" si="34"/>
        <v>0</v>
      </c>
      <c r="W34" s="30">
        <f t="shared" si="34"/>
        <v>-4.6020856624850892E-2</v>
      </c>
      <c r="X34" s="30">
        <f t="shared" si="34"/>
        <v>-0.25017263927490951</v>
      </c>
      <c r="Y34" s="30">
        <f t="shared" si="34"/>
        <v>-0.51536887211564852</v>
      </c>
      <c r="Z34" s="30">
        <f t="shared" si="34"/>
        <v>1.2990108212741744</v>
      </c>
      <c r="AA34" s="30">
        <f t="shared" si="34"/>
        <v>0.502291032327292</v>
      </c>
      <c r="AB34" s="30">
        <f t="shared" si="34"/>
        <v>-0.15913914935727203</v>
      </c>
      <c r="AC34" s="30">
        <f t="shared" si="34"/>
        <v>-0.63987713714914085</v>
      </c>
      <c r="AD34" s="30">
        <f t="shared" ca="1" si="34"/>
        <v>1.3081307000476405</v>
      </c>
      <c r="AE34" s="30">
        <f t="shared" ca="1" si="34"/>
        <v>0.502291032327292</v>
      </c>
      <c r="AF34" s="30">
        <f t="shared" ca="1" si="34"/>
        <v>-0.15913914935727214</v>
      </c>
      <c r="AG34" s="30">
        <f t="shared" ca="1" si="34"/>
        <v>-0.63987713714914074</v>
      </c>
      <c r="AH34" s="30">
        <f t="shared" ca="1" si="34"/>
        <v>1.3081307000476401</v>
      </c>
      <c r="AI34" s="30">
        <f t="shared" ca="1" si="34"/>
        <v>0.50229103232729222</v>
      </c>
      <c r="AJ34" s="30">
        <f t="shared" ca="1" si="34"/>
        <v>-0.15913914935727214</v>
      </c>
      <c r="AK34" s="30">
        <f t="shared" ca="1" si="34"/>
        <v>-0.63987713714914074</v>
      </c>
      <c r="AL34" s="30">
        <f t="shared" ca="1" si="34"/>
        <v>1.2531752071893627</v>
      </c>
      <c r="AM34" s="30">
        <f t="shared" ca="1" si="34"/>
        <v>0.50229103232729244</v>
      </c>
      <c r="AN34" s="30">
        <f t="shared" ca="1" si="34"/>
        <v>-0.15913914935727214</v>
      </c>
      <c r="AO34" s="30">
        <f t="shared" ca="1" si="34"/>
        <v>-0.63987713714914085</v>
      </c>
      <c r="AP34" s="30">
        <f t="shared" ca="1" si="34"/>
        <v>1.2531752071893623</v>
      </c>
      <c r="AQ34" s="30">
        <f t="shared" ca="1" si="34"/>
        <v>0.50229103232729244</v>
      </c>
      <c r="AR34" s="30">
        <f t="shared" ca="1" si="34"/>
        <v>-0.15913914935727214</v>
      </c>
      <c r="AS34" s="30">
        <f t="shared" ca="1" si="34"/>
        <v>-0.63987713714914074</v>
      </c>
      <c r="AT34" s="30">
        <f t="shared" ca="1" si="34"/>
        <v>1.2531752071893618</v>
      </c>
      <c r="AU34" s="30">
        <f t="shared" ca="1" si="34"/>
        <v>0.50229103232729266</v>
      </c>
      <c r="AV34" s="30">
        <f t="shared" ca="1" si="34"/>
        <v>-0.15913914935727203</v>
      </c>
      <c r="AW34" s="30">
        <f t="shared" ca="1" si="34"/>
        <v>-0.63987713714914074</v>
      </c>
      <c r="AX34" s="30">
        <f t="shared" ca="1" si="34"/>
        <v>1.2531752071893618</v>
      </c>
      <c r="AY34" s="30">
        <f t="shared" ca="1" si="34"/>
        <v>0.50229103232729266</v>
      </c>
      <c r="AZ34" s="30">
        <f t="shared" ca="1" si="34"/>
        <v>-0.15913914935727214</v>
      </c>
      <c r="BA34" s="30">
        <f t="shared" ca="1" si="34"/>
        <v>-0.63987713714914074</v>
      </c>
      <c r="BB34" s="8" t="s">
        <v>75</v>
      </c>
    </row>
    <row r="35" spans="1:57" s="25" customFormat="1" x14ac:dyDescent="0.2">
      <c r="B35" s="26" t="s">
        <v>12</v>
      </c>
      <c r="C35" s="45" t="s">
        <v>177</v>
      </c>
      <c r="D35" s="26"/>
      <c r="E35" s="11"/>
      <c r="F35" s="11"/>
      <c r="G35" s="27"/>
      <c r="H35" s="115" t="s">
        <v>147</v>
      </c>
      <c r="I35" s="115" t="s">
        <v>147</v>
      </c>
      <c r="J35" s="115" t="s">
        <v>147</v>
      </c>
      <c r="K35" s="115" t="s">
        <v>147</v>
      </c>
      <c r="L35" s="115" t="s">
        <v>147</v>
      </c>
      <c r="M35" s="115" t="s">
        <v>147</v>
      </c>
      <c r="N35" s="115" t="s">
        <v>147</v>
      </c>
      <c r="O35" s="27"/>
      <c r="S35" s="30">
        <f t="shared" ref="S35:BA35" si="35">+IFERROR(S19/R19-1,0)</f>
        <v>0</v>
      </c>
      <c r="T35" s="30">
        <f t="shared" si="35"/>
        <v>1.2208952986334585</v>
      </c>
      <c r="U35" s="30">
        <f t="shared" si="35"/>
        <v>2.465904438246258E-2</v>
      </c>
      <c r="V35" s="30">
        <f t="shared" si="35"/>
        <v>-1</v>
      </c>
      <c r="W35" s="30">
        <f t="shared" si="35"/>
        <v>0</v>
      </c>
      <c r="X35" s="30">
        <f t="shared" si="35"/>
        <v>5.3892900920873732E-2</v>
      </c>
      <c r="Y35" s="30">
        <f t="shared" si="35"/>
        <v>-0.38849349204603234</v>
      </c>
      <c r="Z35" s="30">
        <f t="shared" si="35"/>
        <v>-0.54012697116242603</v>
      </c>
      <c r="AA35" s="30">
        <f t="shared" si="35"/>
        <v>0.87403114155615302</v>
      </c>
      <c r="AB35" s="30">
        <f t="shared" si="35"/>
        <v>0.12770372523797646</v>
      </c>
      <c r="AC35" s="30">
        <f t="shared" si="35"/>
        <v>2.9059632876799579E-2</v>
      </c>
      <c r="AD35" s="30">
        <f t="shared" ca="1" si="35"/>
        <v>-0.51718924238247777</v>
      </c>
      <c r="AE35" s="30">
        <f t="shared" ca="1" si="35"/>
        <v>0.87403114155615302</v>
      </c>
      <c r="AF35" s="30">
        <f t="shared" ca="1" si="35"/>
        <v>0.12770372523797668</v>
      </c>
      <c r="AG35" s="30">
        <f t="shared" ca="1" si="35"/>
        <v>2.9059632876799579E-2</v>
      </c>
      <c r="AH35" s="30">
        <f t="shared" ca="1" si="35"/>
        <v>-0.51718924238247777</v>
      </c>
      <c r="AI35" s="30">
        <f t="shared" ca="1" si="35"/>
        <v>0.87403114155615302</v>
      </c>
      <c r="AJ35" s="30">
        <f t="shared" ca="1" si="35"/>
        <v>0.12770372523797646</v>
      </c>
      <c r="AK35" s="30">
        <f t="shared" ca="1" si="35"/>
        <v>2.9059632876799579E-2</v>
      </c>
      <c r="AL35" s="30">
        <f t="shared" ca="1" si="35"/>
        <v>-0.52868473661146642</v>
      </c>
      <c r="AM35" s="30">
        <f t="shared" ca="1" si="35"/>
        <v>0.87403114155615302</v>
      </c>
      <c r="AN35" s="30">
        <f t="shared" ca="1" si="35"/>
        <v>0.12770372523797646</v>
      </c>
      <c r="AO35" s="30">
        <f t="shared" ca="1" si="35"/>
        <v>2.9059632876799579E-2</v>
      </c>
      <c r="AP35" s="30">
        <f t="shared" ca="1" si="35"/>
        <v>-0.52868473661146642</v>
      </c>
      <c r="AQ35" s="30">
        <f t="shared" ca="1" si="35"/>
        <v>0.87403114155615302</v>
      </c>
      <c r="AR35" s="30">
        <f t="shared" ca="1" si="35"/>
        <v>0.12770372523797646</v>
      </c>
      <c r="AS35" s="30">
        <f t="shared" ca="1" si="35"/>
        <v>2.9059632876799579E-2</v>
      </c>
      <c r="AT35" s="30">
        <f t="shared" ca="1" si="35"/>
        <v>-0.52868473661146642</v>
      </c>
      <c r="AU35" s="30">
        <f t="shared" ca="1" si="35"/>
        <v>0.8740311415561528</v>
      </c>
      <c r="AV35" s="30">
        <f t="shared" ca="1" si="35"/>
        <v>0.12770372523797646</v>
      </c>
      <c r="AW35" s="30">
        <f t="shared" ca="1" si="35"/>
        <v>2.9059632876799801E-2</v>
      </c>
      <c r="AX35" s="30">
        <f t="shared" ca="1" si="35"/>
        <v>-0.52868473661146642</v>
      </c>
      <c r="AY35" s="30">
        <f t="shared" ca="1" si="35"/>
        <v>0.8740311415561528</v>
      </c>
      <c r="AZ35" s="30">
        <f t="shared" ca="1" si="35"/>
        <v>0.12770372523797646</v>
      </c>
      <c r="BA35" s="30">
        <f t="shared" ca="1" si="35"/>
        <v>2.9059632876799801E-2</v>
      </c>
      <c r="BB35" s="8" t="s">
        <v>75</v>
      </c>
    </row>
    <row r="36" spans="1:57" s="25" customFormat="1" x14ac:dyDescent="0.2">
      <c r="B36" s="26" t="s">
        <v>14</v>
      </c>
      <c r="C36" s="45" t="s">
        <v>177</v>
      </c>
      <c r="D36" s="26"/>
      <c r="E36" s="11"/>
      <c r="F36" s="11"/>
      <c r="G36" s="27"/>
      <c r="H36" s="115" t="s">
        <v>147</v>
      </c>
      <c r="I36" s="115" t="s">
        <v>147</v>
      </c>
      <c r="J36" s="115" t="s">
        <v>147</v>
      </c>
      <c r="K36" s="115" t="s">
        <v>147</v>
      </c>
      <c r="L36" s="115" t="s">
        <v>147</v>
      </c>
      <c r="M36" s="115" t="s">
        <v>147</v>
      </c>
      <c r="N36" s="115" t="s">
        <v>147</v>
      </c>
      <c r="O36" s="27"/>
      <c r="S36" s="30">
        <f t="shared" ref="S36:BA36" si="36">+IFERROR(S20/R20-1,0)</f>
        <v>3.5423374428558239</v>
      </c>
      <c r="T36" s="30">
        <f t="shared" si="36"/>
        <v>0.71099877029026537</v>
      </c>
      <c r="U36" s="30">
        <f t="shared" si="36"/>
        <v>0.43197689396663508</v>
      </c>
      <c r="V36" s="30">
        <f t="shared" si="36"/>
        <v>0.20797557363807728</v>
      </c>
      <c r="W36" s="30">
        <f t="shared" si="36"/>
        <v>-0.23165305891246768</v>
      </c>
      <c r="X36" s="30">
        <f t="shared" si="36"/>
        <v>0.92542614091342856</v>
      </c>
      <c r="Y36" s="30">
        <f t="shared" si="36"/>
        <v>-0.58623247295458036</v>
      </c>
      <c r="Z36" s="30">
        <f t="shared" si="36"/>
        <v>-0.37327937590513094</v>
      </c>
      <c r="AA36" s="30">
        <f t="shared" si="36"/>
        <v>-0.95985873823907863</v>
      </c>
      <c r="AB36" s="30">
        <f t="shared" si="36"/>
        <v>1.5034254561244103</v>
      </c>
      <c r="AC36" s="30">
        <f t="shared" si="36"/>
        <v>7.8168354834927811</v>
      </c>
      <c r="AD36" s="30">
        <f t="shared" ca="1" si="36"/>
        <v>0.18508875779370215</v>
      </c>
      <c r="AE36" s="30">
        <f t="shared" ca="1" si="36"/>
        <v>-0.95985873823907863</v>
      </c>
      <c r="AF36" s="30">
        <f t="shared" ca="1" si="36"/>
        <v>1.5034254561244098</v>
      </c>
      <c r="AG36" s="30">
        <f t="shared" ca="1" si="36"/>
        <v>7.8168354834927829</v>
      </c>
      <c r="AH36" s="30">
        <f t="shared" ca="1" si="36"/>
        <v>0.18508875779370215</v>
      </c>
      <c r="AI36" s="30">
        <f t="shared" ca="1" si="36"/>
        <v>-0.95985873823907863</v>
      </c>
      <c r="AJ36" s="30">
        <f t="shared" ca="1" si="36"/>
        <v>1.5034254561244098</v>
      </c>
      <c r="AK36" s="30">
        <f t="shared" ca="1" si="36"/>
        <v>7.8168354834927829</v>
      </c>
      <c r="AL36" s="30">
        <f t="shared" ca="1" si="36"/>
        <v>0.15687235879861383</v>
      </c>
      <c r="AM36" s="30">
        <f t="shared" ca="1" si="36"/>
        <v>-0.95985873823907863</v>
      </c>
      <c r="AN36" s="30">
        <f t="shared" ca="1" si="36"/>
        <v>1.5034254561244103</v>
      </c>
      <c r="AO36" s="30">
        <f t="shared" ca="1" si="36"/>
        <v>7.8168354834927811</v>
      </c>
      <c r="AP36" s="30">
        <f t="shared" ca="1" si="36"/>
        <v>0.15687235879861383</v>
      </c>
      <c r="AQ36" s="30">
        <f t="shared" ca="1" si="36"/>
        <v>-0.95985873823907863</v>
      </c>
      <c r="AR36" s="30">
        <f t="shared" ca="1" si="36"/>
        <v>1.5034254561244098</v>
      </c>
      <c r="AS36" s="30">
        <f t="shared" ca="1" si="36"/>
        <v>7.8168354834927829</v>
      </c>
      <c r="AT36" s="30">
        <f t="shared" ca="1" si="36"/>
        <v>0.15687235879861383</v>
      </c>
      <c r="AU36" s="30">
        <f t="shared" ca="1" si="36"/>
        <v>-0.95985873823907863</v>
      </c>
      <c r="AV36" s="30">
        <f t="shared" ca="1" si="36"/>
        <v>1.5034254561244098</v>
      </c>
      <c r="AW36" s="30">
        <f t="shared" ca="1" si="36"/>
        <v>7.8168354834927811</v>
      </c>
      <c r="AX36" s="30">
        <f t="shared" ca="1" si="36"/>
        <v>0.15687235879861361</v>
      </c>
      <c r="AY36" s="30">
        <f t="shared" ca="1" si="36"/>
        <v>-0.95985873823907863</v>
      </c>
      <c r="AZ36" s="30">
        <f t="shared" ca="1" si="36"/>
        <v>1.5034254561244098</v>
      </c>
      <c r="BA36" s="30">
        <f t="shared" ca="1" si="36"/>
        <v>7.8168354834927811</v>
      </c>
      <c r="BB36" s="8" t="s">
        <v>75</v>
      </c>
    </row>
    <row r="37" spans="1:57" x14ac:dyDescent="0.2">
      <c r="B37" s="26" t="s">
        <v>247</v>
      </c>
      <c r="C37" s="45" t="s">
        <v>177</v>
      </c>
      <c r="D37" s="19"/>
      <c r="E37" s="11"/>
      <c r="F37" s="11"/>
      <c r="G37" s="11"/>
      <c r="H37" s="11"/>
      <c r="I37" s="11"/>
      <c r="J37" s="11"/>
      <c r="K37" s="11"/>
      <c r="L37" s="11"/>
      <c r="M37" s="11"/>
      <c r="N37" s="11"/>
      <c r="R37" s="25"/>
      <c r="S37" s="30">
        <f t="shared" ref="S37:BA37" si="37">+IFERROR(S22/R22-1,0)</f>
        <v>0.87763951403807372</v>
      </c>
      <c r="T37" s="30">
        <f t="shared" si="37"/>
        <v>-0.1712305213486387</v>
      </c>
      <c r="U37" s="30">
        <f t="shared" si="37"/>
        <v>-0.43532616775021327</v>
      </c>
      <c r="V37" s="30">
        <f t="shared" si="37"/>
        <v>1.0500103036432313</v>
      </c>
      <c r="W37" s="30">
        <f t="shared" si="37"/>
        <v>3.3895143261982286E-2</v>
      </c>
      <c r="X37" s="30">
        <f t="shared" si="37"/>
        <v>8.8262905067374664E-2</v>
      </c>
      <c r="Y37" s="30">
        <f t="shared" si="37"/>
        <v>-0.52999887926560474</v>
      </c>
      <c r="Z37" s="30">
        <f t="shared" si="37"/>
        <v>0.32199098688701366</v>
      </c>
      <c r="AA37" s="30">
        <f t="shared" si="37"/>
        <v>0.25258945468299232</v>
      </c>
      <c r="AB37" s="30">
        <f t="shared" si="37"/>
        <v>-0.12322212809877042</v>
      </c>
      <c r="AC37" s="30">
        <f t="shared" si="37"/>
        <v>-0.41783295779674789</v>
      </c>
      <c r="AD37" s="30">
        <f t="shared" ca="1" si="37"/>
        <v>0.64226543365896993</v>
      </c>
      <c r="AE37" s="30">
        <f t="shared" ca="1" si="37"/>
        <v>0.25258945468299232</v>
      </c>
      <c r="AF37" s="30">
        <f t="shared" ca="1" si="37"/>
        <v>-0.12322212809877042</v>
      </c>
      <c r="AG37" s="30">
        <f t="shared" ca="1" si="37"/>
        <v>-0.41783295779674789</v>
      </c>
      <c r="AH37" s="30">
        <f t="shared" ca="1" si="37"/>
        <v>0.64226543365896993</v>
      </c>
      <c r="AI37" s="30">
        <f t="shared" ca="1" si="37"/>
        <v>0.25258945468299232</v>
      </c>
      <c r="AJ37" s="30">
        <f t="shared" ca="1" si="37"/>
        <v>-0.12322212809877031</v>
      </c>
      <c r="AK37" s="30">
        <f t="shared" ca="1" si="37"/>
        <v>-0.41783295779674789</v>
      </c>
      <c r="AL37" s="30">
        <f t="shared" ca="1" si="37"/>
        <v>0.60316387571470864</v>
      </c>
      <c r="AM37" s="30">
        <f t="shared" ca="1" si="37"/>
        <v>0.25258945468299232</v>
      </c>
      <c r="AN37" s="30">
        <f t="shared" ca="1" si="37"/>
        <v>-0.12322212809877031</v>
      </c>
      <c r="AO37" s="30">
        <f t="shared" ca="1" si="37"/>
        <v>-0.41783295779674789</v>
      </c>
      <c r="AP37" s="30">
        <f t="shared" ca="1" si="37"/>
        <v>0.60316387571470864</v>
      </c>
      <c r="AQ37" s="30">
        <f t="shared" ca="1" si="37"/>
        <v>0.25258945468299232</v>
      </c>
      <c r="AR37" s="30">
        <f t="shared" ca="1" si="37"/>
        <v>-0.12322212809877042</v>
      </c>
      <c r="AS37" s="30">
        <f t="shared" ca="1" si="37"/>
        <v>-0.41783295779674789</v>
      </c>
      <c r="AT37" s="30">
        <f t="shared" ca="1" si="37"/>
        <v>0.60316387571470864</v>
      </c>
      <c r="AU37" s="30">
        <f t="shared" ca="1" si="37"/>
        <v>0.25258945468299254</v>
      </c>
      <c r="AV37" s="30">
        <f t="shared" ca="1" si="37"/>
        <v>-0.12322212809877042</v>
      </c>
      <c r="AW37" s="30">
        <f t="shared" ca="1" si="37"/>
        <v>-0.41783295779674789</v>
      </c>
      <c r="AX37" s="30">
        <f t="shared" ca="1" si="37"/>
        <v>0.60316387571470842</v>
      </c>
      <c r="AY37" s="30">
        <f t="shared" ca="1" si="37"/>
        <v>0.25258945468299254</v>
      </c>
      <c r="AZ37" s="30">
        <f t="shared" ca="1" si="37"/>
        <v>-0.12322212809877031</v>
      </c>
      <c r="BA37" s="30">
        <f t="shared" ca="1" si="37"/>
        <v>-0.41783295779674789</v>
      </c>
      <c r="BB37" s="8" t="s">
        <v>75</v>
      </c>
    </row>
    <row r="38" spans="1:57" x14ac:dyDescent="0.2">
      <c r="B38" s="19"/>
      <c r="C38" s="19"/>
      <c r="D38" s="19"/>
      <c r="E38" s="11"/>
      <c r="F38" s="11"/>
      <c r="G38" s="11"/>
      <c r="H38" s="11"/>
      <c r="I38" s="11"/>
      <c r="J38" s="11"/>
      <c r="K38" s="11"/>
      <c r="L38" s="11"/>
      <c r="M38" s="11"/>
      <c r="N38" s="11"/>
      <c r="R38" s="25"/>
      <c r="T38" s="12"/>
      <c r="U38" s="12"/>
      <c r="V38" s="12"/>
      <c r="W38" s="12"/>
      <c r="X38" s="12"/>
      <c r="Y38" s="12"/>
      <c r="Z38" s="12"/>
      <c r="AA38" s="12"/>
      <c r="AB38" s="12"/>
      <c r="AC38" s="12"/>
      <c r="BB38" s="8" t="s">
        <v>75</v>
      </c>
    </row>
    <row r="39" spans="1:57" s="35" customFormat="1" x14ac:dyDescent="0.2">
      <c r="A39" s="17" t="s">
        <v>75</v>
      </c>
      <c r="B39" s="36" t="s">
        <v>245</v>
      </c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37"/>
      <c r="P39" s="37"/>
      <c r="Q39" s="37"/>
      <c r="U39" s="37"/>
      <c r="V39" s="37"/>
      <c r="W39" s="37"/>
      <c r="X39" s="37"/>
      <c r="Y39" s="44"/>
      <c r="Z39" s="44"/>
      <c r="AA39" s="44"/>
      <c r="AB39" s="44"/>
      <c r="AC39" s="44"/>
      <c r="AD39" s="44"/>
      <c r="AE39" s="44"/>
      <c r="AF39" s="44"/>
      <c r="BB39" s="90" t="s">
        <v>75</v>
      </c>
      <c r="BE39" s="90"/>
    </row>
    <row r="40" spans="1:57" x14ac:dyDescent="0.2">
      <c r="B40" s="2" t="s">
        <v>132</v>
      </c>
      <c r="C40" s="45" t="s">
        <v>187</v>
      </c>
      <c r="D40" s="2"/>
      <c r="E40" s="11"/>
      <c r="F40" s="11"/>
      <c r="G40" s="13">
        <f t="shared" ref="G40:N41" si="38">+SUMIFS(40:40,$6:$6,G$3)</f>
        <v>357.63216401130148</v>
      </c>
      <c r="H40" s="13">
        <f t="shared" si="38"/>
        <v>353.88267365904039</v>
      </c>
      <c r="I40" s="13">
        <f t="shared" ca="1" si="38"/>
        <v>536.45913464546868</v>
      </c>
      <c r="J40" s="13">
        <f t="shared" ca="1" si="38"/>
        <v>561.82304637398386</v>
      </c>
      <c r="K40" s="13">
        <f t="shared" ca="1" si="38"/>
        <v>584.55560313352441</v>
      </c>
      <c r="L40" s="13">
        <f t="shared" ca="1" si="38"/>
        <v>608.35807571016051</v>
      </c>
      <c r="M40" s="13">
        <f t="shared" ca="1" si="38"/>
        <v>633.28816555994911</v>
      </c>
      <c r="N40" s="13">
        <f t="shared" ca="1" si="38"/>
        <v>659.40699504541135</v>
      </c>
      <c r="P40" s="97">
        <f ca="1">+(N40/I40)^(1/5)-1</f>
        <v>4.2133558204224597E-2</v>
      </c>
      <c r="R40" s="25"/>
      <c r="S40" s="25"/>
      <c r="T40" s="25"/>
      <c r="U40" s="25"/>
      <c r="V40" s="24">
        <f>+V41+V42</f>
        <v>90.041024471978048</v>
      </c>
      <c r="W40" s="24">
        <f t="shared" ref="W40:AC40" si="39">+W41+W42</f>
        <v>99.991139539323484</v>
      </c>
      <c r="X40" s="24">
        <f t="shared" si="39"/>
        <v>87.7</v>
      </c>
      <c r="Y40" s="24">
        <f t="shared" si="39"/>
        <v>79.900000000000006</v>
      </c>
      <c r="Z40" s="24">
        <f t="shared" si="39"/>
        <v>6.1494180867882449</v>
      </c>
      <c r="AA40" s="24">
        <f t="shared" si="39"/>
        <v>94.06482861005999</v>
      </c>
      <c r="AB40" s="24">
        <f t="shared" si="39"/>
        <v>99.944191352350046</v>
      </c>
      <c r="AC40" s="24">
        <f t="shared" si="39"/>
        <v>153.72423560984211</v>
      </c>
      <c r="AD40" s="24">
        <f t="shared" ref="AD40:BA40" ca="1" si="40">+AD41+AD42</f>
        <v>125.26246974555667</v>
      </c>
      <c r="AE40" s="24">
        <f t="shared" ca="1" si="40"/>
        <v>151.19829758605792</v>
      </c>
      <c r="AF40" s="24">
        <f t="shared" ca="1" si="40"/>
        <v>144.845489198374</v>
      </c>
      <c r="AG40" s="24">
        <f t="shared" ca="1" si="40"/>
        <v>115.15287811548012</v>
      </c>
      <c r="AH40" s="24">
        <f t="shared" ca="1" si="40"/>
        <v>131.06295793865809</v>
      </c>
      <c r="AI40" s="24">
        <f t="shared" ca="1" si="40"/>
        <v>158.72197394184673</v>
      </c>
      <c r="AJ40" s="24">
        <f t="shared" ca="1" si="40"/>
        <v>151.73280161878478</v>
      </c>
      <c r="AK40" s="24">
        <f t="shared" ca="1" si="40"/>
        <v>120.30531287469425</v>
      </c>
      <c r="AL40" s="24">
        <f t="shared" ca="1" si="40"/>
        <v>136.28999579823852</v>
      </c>
      <c r="AM40" s="24">
        <f t="shared" ca="1" si="40"/>
        <v>165.37804510619367</v>
      </c>
      <c r="AN40" s="24">
        <f t="shared" ca="1" si="40"/>
        <v>157.89654453396437</v>
      </c>
      <c r="AO40" s="24">
        <f t="shared" ca="1" si="40"/>
        <v>124.99101769512791</v>
      </c>
      <c r="AP40" s="24">
        <f t="shared" ca="1" si="40"/>
        <v>141.75932463562012</v>
      </c>
      <c r="AQ40" s="24">
        <f t="shared" ca="1" si="40"/>
        <v>172.35882959391313</v>
      </c>
      <c r="AR40" s="24">
        <f t="shared" ca="1" si="40"/>
        <v>164.35157582179596</v>
      </c>
      <c r="AS40" s="24">
        <f t="shared" ca="1" si="40"/>
        <v>129.88834565883127</v>
      </c>
      <c r="AT40" s="24">
        <f t="shared" ca="1" si="40"/>
        <v>147.48385484970984</v>
      </c>
      <c r="AU40" s="24">
        <f t="shared" ca="1" si="40"/>
        <v>179.68232086314333</v>
      </c>
      <c r="AV40" s="24">
        <f t="shared" ca="1" si="40"/>
        <v>171.11365495508218</v>
      </c>
      <c r="AW40" s="24">
        <f t="shared" ca="1" si="40"/>
        <v>135.00833489201378</v>
      </c>
      <c r="AX40" s="24">
        <f t="shared" ca="1" si="40"/>
        <v>153.47725650157366</v>
      </c>
      <c r="AY40" s="24">
        <f t="shared" ca="1" si="40"/>
        <v>187.36759681162366</v>
      </c>
      <c r="AZ40" s="24">
        <f t="shared" ca="1" si="40"/>
        <v>178.19947756503669</v>
      </c>
      <c r="BA40" s="24">
        <f t="shared" ca="1" si="40"/>
        <v>140.36266416717734</v>
      </c>
      <c r="BB40" s="8" t="s">
        <v>75</v>
      </c>
    </row>
    <row r="41" spans="1:57" x14ac:dyDescent="0.2">
      <c r="B41" s="19" t="s">
        <v>133</v>
      </c>
      <c r="C41" s="45" t="s">
        <v>187</v>
      </c>
      <c r="D41" s="19"/>
      <c r="E41" s="11"/>
      <c r="F41" s="11"/>
      <c r="G41" s="11">
        <f t="shared" si="38"/>
        <v>378.06533209787318</v>
      </c>
      <c r="H41" s="11">
        <f t="shared" si="38"/>
        <v>484.20777812844858</v>
      </c>
      <c r="I41" s="11">
        <f t="shared" ca="1" si="38"/>
        <v>536.45913464546868</v>
      </c>
      <c r="J41" s="11">
        <f t="shared" ca="1" si="38"/>
        <v>561.82304637398386</v>
      </c>
      <c r="K41" s="11">
        <f t="shared" ca="1" si="38"/>
        <v>584.55560313352441</v>
      </c>
      <c r="L41" s="11">
        <f t="shared" ca="1" si="38"/>
        <v>608.35807571016051</v>
      </c>
      <c r="M41" s="11">
        <f t="shared" ca="1" si="38"/>
        <v>633.28816555994911</v>
      </c>
      <c r="N41" s="11">
        <f t="shared" ca="1" si="38"/>
        <v>659.40699504541135</v>
      </c>
      <c r="P41" s="97">
        <f ca="1">+(N41/I41)^(1/5)-1</f>
        <v>4.2133558204224597E-2</v>
      </c>
      <c r="R41" s="25"/>
      <c r="S41" s="25"/>
      <c r="T41" s="25"/>
      <c r="U41" s="25"/>
      <c r="V41" s="12">
        <v>93.249674453459718</v>
      </c>
      <c r="W41" s="12">
        <v>102.61565764441347</v>
      </c>
      <c r="X41" s="12">
        <v>104.7</v>
      </c>
      <c r="Y41" s="12">
        <v>77.5</v>
      </c>
      <c r="Z41" s="12">
        <v>91.667834175221742</v>
      </c>
      <c r="AA41" s="12">
        <v>130.82951534396798</v>
      </c>
      <c r="AB41" s="12">
        <v>131.87401703597951</v>
      </c>
      <c r="AC41" s="12">
        <v>129.83641157327935</v>
      </c>
      <c r="AD41" s="11">
        <f ca="1">+AD63*AD$9</f>
        <v>125.26246974555667</v>
      </c>
      <c r="AE41" s="11">
        <f t="shared" ref="AE41:BA43" ca="1" si="41">+AE63*AE$9</f>
        <v>151.19829758605792</v>
      </c>
      <c r="AF41" s="11">
        <f t="shared" ca="1" si="41"/>
        <v>144.845489198374</v>
      </c>
      <c r="AG41" s="11">
        <f t="shared" ca="1" si="41"/>
        <v>115.15287811548012</v>
      </c>
      <c r="AH41" s="11">
        <f t="shared" ca="1" si="41"/>
        <v>131.06295793865809</v>
      </c>
      <c r="AI41" s="11">
        <f t="shared" ca="1" si="41"/>
        <v>158.72197394184673</v>
      </c>
      <c r="AJ41" s="11">
        <f t="shared" ca="1" si="41"/>
        <v>151.73280161878478</v>
      </c>
      <c r="AK41" s="11">
        <f t="shared" ca="1" si="41"/>
        <v>120.30531287469425</v>
      </c>
      <c r="AL41" s="11">
        <f t="shared" ca="1" si="41"/>
        <v>136.28999579823852</v>
      </c>
      <c r="AM41" s="11">
        <f t="shared" ca="1" si="41"/>
        <v>165.37804510619367</v>
      </c>
      <c r="AN41" s="11">
        <f t="shared" ca="1" si="41"/>
        <v>157.89654453396437</v>
      </c>
      <c r="AO41" s="11">
        <f t="shared" ca="1" si="41"/>
        <v>124.99101769512791</v>
      </c>
      <c r="AP41" s="11">
        <f t="shared" ca="1" si="41"/>
        <v>141.75932463562012</v>
      </c>
      <c r="AQ41" s="11">
        <f t="shared" ca="1" si="41"/>
        <v>172.35882959391313</v>
      </c>
      <c r="AR41" s="11">
        <f t="shared" ca="1" si="41"/>
        <v>164.35157582179596</v>
      </c>
      <c r="AS41" s="11">
        <f t="shared" ca="1" si="41"/>
        <v>129.88834565883127</v>
      </c>
      <c r="AT41" s="11">
        <f t="shared" ca="1" si="41"/>
        <v>147.48385484970984</v>
      </c>
      <c r="AU41" s="11">
        <f t="shared" ca="1" si="41"/>
        <v>179.68232086314333</v>
      </c>
      <c r="AV41" s="11">
        <f t="shared" ca="1" si="41"/>
        <v>171.11365495508218</v>
      </c>
      <c r="AW41" s="11">
        <f t="shared" ca="1" si="41"/>
        <v>135.00833489201378</v>
      </c>
      <c r="AX41" s="11">
        <f t="shared" ca="1" si="41"/>
        <v>153.47725650157366</v>
      </c>
      <c r="AY41" s="11">
        <f t="shared" ca="1" si="41"/>
        <v>187.36759681162366</v>
      </c>
      <c r="AZ41" s="11">
        <f t="shared" ca="1" si="41"/>
        <v>178.19947756503669</v>
      </c>
      <c r="BA41" s="11">
        <f t="shared" ca="1" si="41"/>
        <v>140.36266416717734</v>
      </c>
      <c r="BB41" s="8" t="s">
        <v>75</v>
      </c>
    </row>
    <row r="42" spans="1:57" x14ac:dyDescent="0.2">
      <c r="B42" s="19" t="s">
        <v>135</v>
      </c>
      <c r="C42" s="45" t="s">
        <v>187</v>
      </c>
      <c r="D42" s="19"/>
      <c r="E42" s="11"/>
      <c r="F42" s="11"/>
      <c r="G42" s="11">
        <f t="shared" ref="G42:H48" si="42">+SUMIFS(42:42,$6:$6,G$3)</f>
        <v>-20.433168086571662</v>
      </c>
      <c r="H42" s="11">
        <f t="shared" si="42"/>
        <v>-130.32510446940819</v>
      </c>
      <c r="I42" s="11"/>
      <c r="J42" s="11"/>
      <c r="K42" s="11"/>
      <c r="L42" s="11"/>
      <c r="M42" s="11"/>
      <c r="N42" s="11"/>
      <c r="P42" s="97"/>
      <c r="R42" s="25"/>
      <c r="S42" s="25"/>
      <c r="T42" s="25"/>
      <c r="U42" s="25"/>
      <c r="V42" s="12">
        <v>-3.2086499814816651</v>
      </c>
      <c r="W42" s="12">
        <v>-2.6245181050899964</v>
      </c>
      <c r="X42" s="12">
        <v>-17</v>
      </c>
      <c r="Y42" s="12">
        <v>2.4</v>
      </c>
      <c r="Z42" s="12">
        <v>-85.518416088433497</v>
      </c>
      <c r="AA42" s="12">
        <v>-36.764686733907993</v>
      </c>
      <c r="AB42" s="12">
        <v>-31.92982568362946</v>
      </c>
      <c r="AC42" s="12">
        <v>23.887824036562762</v>
      </c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8" t="s">
        <v>75</v>
      </c>
    </row>
    <row r="43" spans="1:57" x14ac:dyDescent="0.2">
      <c r="B43" s="2" t="s">
        <v>136</v>
      </c>
      <c r="C43" s="45" t="s">
        <v>187</v>
      </c>
      <c r="D43" s="2"/>
      <c r="E43" s="11"/>
      <c r="F43" s="11"/>
      <c r="G43" s="13">
        <f t="shared" si="42"/>
        <v>-138.39554608314924</v>
      </c>
      <c r="H43" s="13">
        <f t="shared" si="42"/>
        <v>-208.80428942773915</v>
      </c>
      <c r="R43" s="25"/>
      <c r="S43" s="25"/>
      <c r="T43" s="25"/>
      <c r="U43" s="25"/>
      <c r="V43" s="16">
        <v>-37.649491049528919</v>
      </c>
      <c r="W43" s="16">
        <v>-29.968317716796776</v>
      </c>
      <c r="X43" s="16">
        <v>-41.221544801638998</v>
      </c>
      <c r="Y43" s="16">
        <v>-29.556192515184541</v>
      </c>
      <c r="Z43" s="16">
        <v>-43.219241527789293</v>
      </c>
      <c r="AA43" s="16">
        <v>-73.295658930516993</v>
      </c>
      <c r="AB43" s="16">
        <v>-55.069025268280193</v>
      </c>
      <c r="AC43" s="16">
        <v>-37.220363701152671</v>
      </c>
      <c r="AD43" s="11">
        <f ca="1">+AD65*AD$9</f>
        <v>-55.343036120871581</v>
      </c>
      <c r="AE43" s="11">
        <f t="shared" ca="1" si="41"/>
        <v>-74.851915013798148</v>
      </c>
      <c r="AF43" s="11">
        <f t="shared" ca="1" si="41"/>
        <v>-62.105106508277814</v>
      </c>
      <c r="AG43" s="11">
        <f t="shared" ca="1" si="41"/>
        <v>-60.265537832042824</v>
      </c>
      <c r="AH43" s="11">
        <f t="shared" ca="1" si="41"/>
        <v>-56.524002287217883</v>
      </c>
      <c r="AI43" s="11">
        <f t="shared" ca="1" si="41"/>
        <v>-63.795154188602091</v>
      </c>
      <c r="AJ43" s="11">
        <f t="shared" ca="1" si="41"/>
        <v>-59.56540926879066</v>
      </c>
      <c r="AK43" s="11">
        <f t="shared" ca="1" si="41"/>
        <v>-55.948097295424219</v>
      </c>
      <c r="AL43" s="11">
        <f t="shared" ca="1" si="41"/>
        <v>-55.564680644917971</v>
      </c>
      <c r="AM43" s="11">
        <f t="shared" ca="1" si="41"/>
        <v>-58.263139503724645</v>
      </c>
      <c r="AN43" s="11">
        <f t="shared" ca="1" si="41"/>
        <v>-57.636600398111362</v>
      </c>
      <c r="AO43" s="11">
        <f t="shared" ca="1" si="41"/>
        <v>-52.620846434228767</v>
      </c>
      <c r="AP43" s="11">
        <f t="shared" ca="1" si="41"/>
        <v>-55.26504124011786</v>
      </c>
      <c r="AQ43" s="11">
        <f t="shared" ca="1" si="41"/>
        <v>-56.424227337768095</v>
      </c>
      <c r="AR43" s="11">
        <f t="shared" ca="1" si="41"/>
        <v>-56.683569372923735</v>
      </c>
      <c r="AS43" s="11">
        <f t="shared" ca="1" si="41"/>
        <v>-50.676837946235047</v>
      </c>
      <c r="AT43" s="11">
        <f t="shared" ca="1" si="41"/>
        <v>-59.188348721330222</v>
      </c>
      <c r="AU43" s="11">
        <f t="shared" ca="1" si="41"/>
        <v>-60.245434926400648</v>
      </c>
      <c r="AV43" s="11">
        <f t="shared" ca="1" si="41"/>
        <v>-60.660077498205617</v>
      </c>
      <c r="AW43" s="11">
        <f t="shared" ca="1" si="41"/>
        <v>-54.248712001466899</v>
      </c>
      <c r="AX43" s="11">
        <f t="shared" ca="1" si="41"/>
        <v>-63.39830470619561</v>
      </c>
      <c r="AY43" s="11">
        <f t="shared" ca="1" si="41"/>
        <v>-64.332079325082177</v>
      </c>
      <c r="AZ43" s="11">
        <f t="shared" ca="1" si="41"/>
        <v>-64.923213237824555</v>
      </c>
      <c r="BA43" s="11">
        <f t="shared" ca="1" si="41"/>
        <v>-58.080413385354021</v>
      </c>
      <c r="BB43" s="8" t="s">
        <v>75</v>
      </c>
    </row>
    <row r="44" spans="1:57" x14ac:dyDescent="0.2">
      <c r="B44" s="1" t="s">
        <v>137</v>
      </c>
      <c r="C44" s="45" t="s">
        <v>187</v>
      </c>
      <c r="E44" s="11"/>
      <c r="F44" s="11"/>
      <c r="G44" s="11">
        <f t="shared" si="42"/>
        <v>-5.759352090626221</v>
      </c>
      <c r="H44" s="11">
        <f t="shared" si="42"/>
        <v>-26.93172730121746</v>
      </c>
      <c r="R44" s="25"/>
      <c r="S44" s="25"/>
      <c r="T44" s="25"/>
      <c r="U44" s="25"/>
      <c r="V44" s="12">
        <v>-2.3778580734640102</v>
      </c>
      <c r="W44" s="12">
        <v>-1.8814940171622099</v>
      </c>
      <c r="X44" s="12">
        <v>-1.6</v>
      </c>
      <c r="Y44" s="12">
        <v>0.1</v>
      </c>
      <c r="Z44" s="12">
        <v>-2.0925047369682019</v>
      </c>
      <c r="AA44" s="12">
        <v>-2.4906562797539999</v>
      </c>
      <c r="AB44" s="12">
        <v>-4.2625516557053329</v>
      </c>
      <c r="AC44" s="12">
        <v>-18.086014628789925</v>
      </c>
      <c r="BB44" s="8" t="s">
        <v>75</v>
      </c>
    </row>
    <row r="45" spans="1:57" x14ac:dyDescent="0.2">
      <c r="B45" s="1" t="s">
        <v>138</v>
      </c>
      <c r="C45" s="45" t="s">
        <v>187</v>
      </c>
      <c r="E45" s="11"/>
      <c r="F45" s="11"/>
      <c r="G45" s="11">
        <f t="shared" si="42"/>
        <v>0.69468550036785226</v>
      </c>
      <c r="H45" s="11">
        <f t="shared" si="42"/>
        <v>9.2507527089142852E-2</v>
      </c>
      <c r="R45" s="25"/>
      <c r="S45" s="25"/>
      <c r="T45" s="25"/>
      <c r="U45" s="25"/>
      <c r="V45" s="12">
        <v>0.26455807545021531</v>
      </c>
      <c r="W45" s="12">
        <v>0.13012742491763701</v>
      </c>
      <c r="X45" s="12">
        <v>0.1</v>
      </c>
      <c r="Y45" s="12">
        <v>0.2</v>
      </c>
      <c r="Z45" s="12">
        <v>1.9729895499999997E-2</v>
      </c>
      <c r="AA45" s="12">
        <v>2.9876503799999996E-2</v>
      </c>
      <c r="AB45" s="12">
        <v>4.2901127789142859E-2</v>
      </c>
      <c r="AC45" s="12">
        <v>0</v>
      </c>
      <c r="BB45" s="8" t="s">
        <v>75</v>
      </c>
    </row>
    <row r="46" spans="1:57" x14ac:dyDescent="0.2">
      <c r="B46" s="1" t="s">
        <v>139</v>
      </c>
      <c r="C46" s="45" t="s">
        <v>187</v>
      </c>
      <c r="E46" s="11"/>
      <c r="F46" s="11"/>
      <c r="G46" s="11">
        <f t="shared" si="42"/>
        <v>-6.7048472732214801</v>
      </c>
      <c r="H46" s="11">
        <f t="shared" si="42"/>
        <v>-5.3623403359829505</v>
      </c>
      <c r="R46" s="25"/>
      <c r="S46" s="25"/>
      <c r="T46" s="25"/>
      <c r="U46" s="25"/>
      <c r="V46" s="12">
        <v>-4.471213355345097</v>
      </c>
      <c r="W46" s="12">
        <v>1.1219512932273594</v>
      </c>
      <c r="X46" s="12">
        <v>0.54884239443332428</v>
      </c>
      <c r="Y46" s="12">
        <v>-3.9044276055370668</v>
      </c>
      <c r="Z46" s="12">
        <v>-2.2952569799956555</v>
      </c>
      <c r="AA46" s="12">
        <v>1.8202890779513992</v>
      </c>
      <c r="AB46" s="12">
        <v>-1.8185403064436614</v>
      </c>
      <c r="AC46" s="12">
        <v>-3.0688321274950328</v>
      </c>
      <c r="BB46" s="8" t="s">
        <v>75</v>
      </c>
    </row>
    <row r="47" spans="1:57" x14ac:dyDescent="0.2">
      <c r="B47" s="1" t="s">
        <v>14</v>
      </c>
      <c r="C47" s="45" t="s">
        <v>187</v>
      </c>
      <c r="E47" s="11"/>
      <c r="F47" s="11"/>
      <c r="G47" s="11">
        <f t="shared" si="42"/>
        <v>-0.74078023128780957</v>
      </c>
      <c r="H47" s="11">
        <f t="shared" si="42"/>
        <v>0</v>
      </c>
      <c r="R47" s="25"/>
      <c r="S47" s="25"/>
      <c r="T47" s="25"/>
      <c r="U47" s="25"/>
      <c r="V47" s="12">
        <v>0</v>
      </c>
      <c r="W47" s="12">
        <v>0</v>
      </c>
      <c r="X47" s="12">
        <v>0</v>
      </c>
      <c r="Y47" s="12">
        <v>-0.74078023128780957</v>
      </c>
      <c r="Z47" s="12">
        <v>0</v>
      </c>
      <c r="AA47" s="12">
        <v>0</v>
      </c>
      <c r="AB47" s="12">
        <v>0</v>
      </c>
      <c r="AC47" s="12">
        <v>0</v>
      </c>
      <c r="BB47" s="8" t="s">
        <v>75</v>
      </c>
    </row>
    <row r="48" spans="1:57" s="2" customFormat="1" x14ac:dyDescent="0.2">
      <c r="B48" s="18" t="s">
        <v>140</v>
      </c>
      <c r="C48" s="45" t="s">
        <v>187</v>
      </c>
      <c r="D48" s="18"/>
      <c r="E48" s="11"/>
      <c r="F48" s="11"/>
      <c r="G48" s="13">
        <f t="shared" si="42"/>
        <v>206.72632383338464</v>
      </c>
      <c r="H48" s="13">
        <f t="shared" si="42"/>
        <v>112.87682412118997</v>
      </c>
      <c r="I48" s="1"/>
      <c r="J48" s="1"/>
      <c r="K48" s="1"/>
      <c r="L48" s="1"/>
      <c r="M48" s="1"/>
      <c r="N48" s="1"/>
      <c r="O48" s="1"/>
      <c r="R48" s="25"/>
      <c r="S48" s="25"/>
      <c r="T48" s="25"/>
      <c r="U48" s="25"/>
      <c r="V48" s="24">
        <f>+SUM(V43:V47,V40)</f>
        <v>45.807020069090235</v>
      </c>
      <c r="W48" s="24">
        <f>+SUM(W43:W47,W40)</f>
        <v>69.393406523509498</v>
      </c>
      <c r="X48" s="24">
        <f t="shared" ref="X48:BA48" si="43">+SUM(X43:X47,X40)</f>
        <v>45.527297592794326</v>
      </c>
      <c r="Y48" s="24">
        <f t="shared" si="43"/>
        <v>45.998599647990588</v>
      </c>
      <c r="Z48" s="24">
        <f t="shared" si="43"/>
        <v>-41.437855262464907</v>
      </c>
      <c r="AA48" s="24">
        <f t="shared" si="43"/>
        <v>20.128678981540389</v>
      </c>
      <c r="AB48" s="24">
        <f t="shared" si="43"/>
        <v>38.836975249710008</v>
      </c>
      <c r="AC48" s="24">
        <f t="shared" si="43"/>
        <v>95.349025152404479</v>
      </c>
      <c r="AD48" s="24">
        <f t="shared" ca="1" si="43"/>
        <v>69.919433624685098</v>
      </c>
      <c r="AE48" s="24">
        <f t="shared" ca="1" si="43"/>
        <v>76.34638257225977</v>
      </c>
      <c r="AF48" s="24">
        <f t="shared" ca="1" si="43"/>
        <v>82.740382690096183</v>
      </c>
      <c r="AG48" s="24">
        <f t="shared" ca="1" si="43"/>
        <v>54.887340283437297</v>
      </c>
      <c r="AH48" s="24">
        <f t="shared" ca="1" si="43"/>
        <v>74.538955651440205</v>
      </c>
      <c r="AI48" s="24">
        <f t="shared" ca="1" si="43"/>
        <v>94.926819753244644</v>
      </c>
      <c r="AJ48" s="24">
        <f t="shared" ca="1" si="43"/>
        <v>92.167392349994117</v>
      </c>
      <c r="AK48" s="24">
        <f t="shared" ca="1" si="43"/>
        <v>64.357215579270033</v>
      </c>
      <c r="AL48" s="24">
        <f t="shared" ca="1" si="43"/>
        <v>80.725315153320551</v>
      </c>
      <c r="AM48" s="24">
        <f t="shared" ca="1" si="43"/>
        <v>107.11490560246902</v>
      </c>
      <c r="AN48" s="24">
        <f t="shared" ca="1" si="43"/>
        <v>100.259944135853</v>
      </c>
      <c r="AO48" s="24">
        <f t="shared" ca="1" si="43"/>
        <v>72.370171260899141</v>
      </c>
      <c r="AP48" s="24">
        <f t="shared" ca="1" si="43"/>
        <v>86.494283395502265</v>
      </c>
      <c r="AQ48" s="24">
        <f t="shared" ca="1" si="43"/>
        <v>115.93460225614504</v>
      </c>
      <c r="AR48" s="24">
        <f t="shared" ca="1" si="43"/>
        <v>107.66800644887223</v>
      </c>
      <c r="AS48" s="24">
        <f t="shared" ca="1" si="43"/>
        <v>79.211507712596216</v>
      </c>
      <c r="AT48" s="24">
        <f t="shared" ca="1" si="43"/>
        <v>88.295506128379628</v>
      </c>
      <c r="AU48" s="24">
        <f t="shared" ca="1" si="43"/>
        <v>119.43688593674268</v>
      </c>
      <c r="AV48" s="24">
        <f t="shared" ca="1" si="43"/>
        <v>110.45357745687656</v>
      </c>
      <c r="AW48" s="24">
        <f t="shared" ca="1" si="43"/>
        <v>80.759622890546879</v>
      </c>
      <c r="AX48" s="24">
        <f t="shared" ca="1" si="43"/>
        <v>90.07895179537806</v>
      </c>
      <c r="AY48" s="24">
        <f t="shared" ca="1" si="43"/>
        <v>123.03551748654148</v>
      </c>
      <c r="AZ48" s="24">
        <f t="shared" ca="1" si="43"/>
        <v>113.27626432721213</v>
      </c>
      <c r="BA48" s="24">
        <f t="shared" ca="1" si="43"/>
        <v>82.282250781823322</v>
      </c>
      <c r="BB48" s="8" t="s">
        <v>75</v>
      </c>
    </row>
    <row r="49" spans="1:57" s="25" customFormat="1" x14ac:dyDescent="0.2">
      <c r="B49" s="26" t="s">
        <v>141</v>
      </c>
      <c r="C49" s="45" t="s">
        <v>177</v>
      </c>
      <c r="D49" s="26"/>
      <c r="E49" s="11"/>
      <c r="F49" s="11"/>
      <c r="G49" s="30">
        <f>+G48/G41</f>
        <v>0.54680052964990589</v>
      </c>
      <c r="H49" s="30">
        <f>+H48/H41</f>
        <v>0.23311650332731021</v>
      </c>
      <c r="I49" s="1"/>
      <c r="J49" s="1"/>
      <c r="K49" s="1"/>
      <c r="L49" s="1"/>
      <c r="M49" s="1"/>
      <c r="N49" s="1"/>
      <c r="O49" s="1"/>
      <c r="V49" s="30">
        <f t="shared" ref="V49:BA49" si="44">+V48/V41</f>
        <v>0.49122981219577566</v>
      </c>
      <c r="W49" s="30">
        <f t="shared" si="44"/>
        <v>0.67624579052032574</v>
      </c>
      <c r="X49" s="30">
        <f t="shared" si="44"/>
        <v>0.43483569811646922</v>
      </c>
      <c r="Y49" s="30">
        <f t="shared" si="44"/>
        <v>0.59353031803858824</v>
      </c>
      <c r="Z49" s="30">
        <f t="shared" si="44"/>
        <v>-0.45204357270247103</v>
      </c>
      <c r="AA49" s="30">
        <f t="shared" si="44"/>
        <v>0.15385426544323311</v>
      </c>
      <c r="AB49" s="30">
        <f t="shared" si="44"/>
        <v>0.2945005856545192</v>
      </c>
      <c r="AC49" s="30">
        <f t="shared" si="44"/>
        <v>0.73437816092591046</v>
      </c>
      <c r="AD49" s="30">
        <f t="shared" ca="1" si="44"/>
        <v>0.55818341891798195</v>
      </c>
      <c r="AE49" s="30">
        <f t="shared" ca="1" si="44"/>
        <v>0.50494207799400326</v>
      </c>
      <c r="AF49" s="30">
        <f t="shared" ca="1" si="44"/>
        <v>0.57123202902631376</v>
      </c>
      <c r="AG49" s="30">
        <f t="shared" ca="1" si="44"/>
        <v>0.47664757652339335</v>
      </c>
      <c r="AH49" s="30">
        <f t="shared" ca="1" si="44"/>
        <v>0.56872633445620058</v>
      </c>
      <c r="AI49" s="30">
        <f t="shared" ca="1" si="44"/>
        <v>0.59806980341628291</v>
      </c>
      <c r="AJ49" s="30">
        <f t="shared" ca="1" si="44"/>
        <v>0.60743221878652531</v>
      </c>
      <c r="AK49" s="30">
        <f t="shared" ca="1" si="44"/>
        <v>0.5349490728335683</v>
      </c>
      <c r="AL49" s="30">
        <f t="shared" ca="1" si="44"/>
        <v>0.59230550768249335</v>
      </c>
      <c r="AM49" s="30">
        <f t="shared" ca="1" si="44"/>
        <v>0.64769725348783558</v>
      </c>
      <c r="AN49" s="30">
        <f t="shared" ca="1" si="44"/>
        <v>0.634972376575895</v>
      </c>
      <c r="AO49" s="30">
        <f t="shared" ca="1" si="44"/>
        <v>0.57900297633723563</v>
      </c>
      <c r="AP49" s="30">
        <f t="shared" ca="1" si="44"/>
        <v>0.61014881114754327</v>
      </c>
      <c r="AQ49" s="30">
        <f t="shared" ca="1" si="44"/>
        <v>0.6726351213296895</v>
      </c>
      <c r="AR49" s="30">
        <f t="shared" ca="1" si="44"/>
        <v>0.65510784372165132</v>
      </c>
      <c r="AS49" s="30">
        <f t="shared" ca="1" si="44"/>
        <v>0.60984307183845121</v>
      </c>
      <c r="AT49" s="30">
        <f t="shared" ca="1" si="44"/>
        <v>0.59867913147751128</v>
      </c>
      <c r="AU49" s="30">
        <f t="shared" ca="1" si="44"/>
        <v>0.66471139376985711</v>
      </c>
      <c r="AV49" s="30">
        <f t="shared" ca="1" si="44"/>
        <v>0.64549832382384054</v>
      </c>
      <c r="AW49" s="30">
        <f t="shared" ca="1" si="44"/>
        <v>0.59818249706688364</v>
      </c>
      <c r="AX49" s="30">
        <f t="shared" ca="1" si="44"/>
        <v>0.58692052391785132</v>
      </c>
      <c r="AY49" s="30">
        <f t="shared" ca="1" si="44"/>
        <v>0.65665312241923768</v>
      </c>
      <c r="AZ49" s="30">
        <f t="shared" ca="1" si="44"/>
        <v>0.63567113593736657</v>
      </c>
      <c r="BA49" s="30">
        <f t="shared" ca="1" si="44"/>
        <v>0.58621180546859664</v>
      </c>
      <c r="BB49" s="8" t="s">
        <v>75</v>
      </c>
    </row>
    <row r="50" spans="1:57" x14ac:dyDescent="0.2">
      <c r="B50" s="1" t="s">
        <v>135</v>
      </c>
      <c r="C50" s="45" t="s">
        <v>187</v>
      </c>
      <c r="E50" s="11"/>
      <c r="F50" s="11"/>
      <c r="G50" s="11">
        <f t="shared" ref="G50:H53" si="45">+SUMIFS(50:50,$6:$6,G$3)</f>
        <v>20.433168086571662</v>
      </c>
      <c r="H50" s="11">
        <f t="shared" si="45"/>
        <v>130.32510446940819</v>
      </c>
      <c r="R50" s="25"/>
      <c r="S50" s="25"/>
      <c r="T50" s="25"/>
      <c r="U50" s="25"/>
      <c r="V50" s="12">
        <v>3.2086499814816651</v>
      </c>
      <c r="W50" s="12">
        <v>2.6245181050899964</v>
      </c>
      <c r="X50" s="12">
        <v>17</v>
      </c>
      <c r="Y50" s="12">
        <v>-2.4</v>
      </c>
      <c r="Z50" s="12">
        <v>85.518416088433497</v>
      </c>
      <c r="AA50" s="12">
        <v>36.764686733907993</v>
      </c>
      <c r="AB50" s="12">
        <v>31.92982568362946</v>
      </c>
      <c r="AC50" s="12">
        <v>-23.887824036562762</v>
      </c>
      <c r="BB50" s="8" t="s">
        <v>75</v>
      </c>
    </row>
    <row r="51" spans="1:57" x14ac:dyDescent="0.2">
      <c r="B51" s="22" t="s">
        <v>139</v>
      </c>
      <c r="C51" s="45" t="s">
        <v>187</v>
      </c>
      <c r="E51" s="11"/>
      <c r="F51" s="11"/>
      <c r="G51" s="11">
        <f t="shared" si="45"/>
        <v>6.7048472732214801</v>
      </c>
      <c r="H51" s="11">
        <f t="shared" si="45"/>
        <v>5.3623403359829505</v>
      </c>
      <c r="R51" s="25"/>
      <c r="S51" s="25"/>
      <c r="T51" s="25"/>
      <c r="U51" s="25"/>
      <c r="V51" s="12">
        <v>4.471213355345097</v>
      </c>
      <c r="W51" s="12">
        <v>-1.1219512932273594</v>
      </c>
      <c r="X51" s="12">
        <v>-0.54884239443332428</v>
      </c>
      <c r="Y51" s="12">
        <v>3.9044276055370668</v>
      </c>
      <c r="Z51" s="12">
        <v>2.2952569799956555</v>
      </c>
      <c r="AA51" s="12">
        <v>-1.8202890779513992</v>
      </c>
      <c r="AB51" s="12">
        <v>1.8185403064436614</v>
      </c>
      <c r="AC51" s="12">
        <v>3.0688321274950328</v>
      </c>
      <c r="BB51" s="8" t="s">
        <v>75</v>
      </c>
    </row>
    <row r="52" spans="1:57" x14ac:dyDescent="0.2">
      <c r="B52" s="22" t="s">
        <v>142</v>
      </c>
      <c r="C52" s="45" t="s">
        <v>187</v>
      </c>
      <c r="E52" s="11"/>
      <c r="F52" s="11"/>
      <c r="G52" s="11">
        <f t="shared" si="45"/>
        <v>0</v>
      </c>
      <c r="H52" s="11">
        <f t="shared" si="45"/>
        <v>3.3437729596929842</v>
      </c>
      <c r="R52" s="25"/>
      <c r="S52" s="25"/>
      <c r="T52" s="25"/>
      <c r="U52" s="25"/>
      <c r="V52" s="12">
        <v>0</v>
      </c>
      <c r="W52" s="12">
        <v>0</v>
      </c>
      <c r="X52" s="12">
        <v>0</v>
      </c>
      <c r="Y52" s="12">
        <v>0</v>
      </c>
      <c r="Z52" s="12">
        <v>1.0282575160929213</v>
      </c>
      <c r="AA52" s="12">
        <v>0.33944925360000866</v>
      </c>
      <c r="AB52" s="12">
        <v>1.6282513800000515</v>
      </c>
      <c r="AC52" s="12">
        <v>0.34781481000000269</v>
      </c>
      <c r="BB52" s="8" t="s">
        <v>75</v>
      </c>
    </row>
    <row r="53" spans="1:57" s="2" customFormat="1" x14ac:dyDescent="0.2">
      <c r="B53" s="18" t="s">
        <v>4</v>
      </c>
      <c r="C53" s="45" t="s">
        <v>187</v>
      </c>
      <c r="D53" s="18"/>
      <c r="E53" s="11"/>
      <c r="F53" s="11"/>
      <c r="G53" s="13">
        <f t="shared" si="45"/>
        <v>233.86433919317778</v>
      </c>
      <c r="H53" s="13">
        <f t="shared" si="45"/>
        <v>251.90804188627411</v>
      </c>
      <c r="I53" s="13"/>
      <c r="J53" s="13"/>
      <c r="K53" s="13"/>
      <c r="L53" s="13"/>
      <c r="M53" s="13"/>
      <c r="N53" s="13"/>
      <c r="P53" s="97"/>
      <c r="R53" s="25"/>
      <c r="S53" s="25"/>
      <c r="T53" s="25"/>
      <c r="U53" s="25"/>
      <c r="V53" s="24">
        <f t="shared" ref="V53:AC53" si="46">+V48+V50+V51+V52</f>
        <v>53.486883405916998</v>
      </c>
      <c r="W53" s="24">
        <f t="shared" si="46"/>
        <v>70.895973335372133</v>
      </c>
      <c r="X53" s="24">
        <f t="shared" si="46"/>
        <v>61.978455198361004</v>
      </c>
      <c r="Y53" s="24">
        <f t="shared" si="46"/>
        <v>47.503027253527655</v>
      </c>
      <c r="Z53" s="24">
        <f t="shared" si="46"/>
        <v>47.404075322057167</v>
      </c>
      <c r="AA53" s="24">
        <f t="shared" si="46"/>
        <v>55.41252589109699</v>
      </c>
      <c r="AB53" s="24">
        <f t="shared" si="46"/>
        <v>74.213592619783185</v>
      </c>
      <c r="AC53" s="24">
        <f t="shared" si="46"/>
        <v>74.877848053336749</v>
      </c>
      <c r="AD53" s="24">
        <f t="shared" ref="AD53:BA53" ca="1" si="47">+AD48+AD50+AD51+AD52</f>
        <v>69.919433624685098</v>
      </c>
      <c r="AE53" s="24">
        <f t="shared" ca="1" si="47"/>
        <v>76.34638257225977</v>
      </c>
      <c r="AF53" s="24">
        <f t="shared" ca="1" si="47"/>
        <v>82.740382690096183</v>
      </c>
      <c r="AG53" s="24">
        <f t="shared" ca="1" si="47"/>
        <v>54.887340283437297</v>
      </c>
      <c r="AH53" s="24">
        <f t="shared" ca="1" si="47"/>
        <v>74.538955651440205</v>
      </c>
      <c r="AI53" s="24">
        <f t="shared" ca="1" si="47"/>
        <v>94.926819753244644</v>
      </c>
      <c r="AJ53" s="24">
        <f t="shared" ca="1" si="47"/>
        <v>92.167392349994117</v>
      </c>
      <c r="AK53" s="24">
        <f t="shared" ca="1" si="47"/>
        <v>64.357215579270033</v>
      </c>
      <c r="AL53" s="24">
        <f t="shared" ca="1" si="47"/>
        <v>80.725315153320551</v>
      </c>
      <c r="AM53" s="24">
        <f t="shared" ca="1" si="47"/>
        <v>107.11490560246902</v>
      </c>
      <c r="AN53" s="24">
        <f t="shared" ca="1" si="47"/>
        <v>100.259944135853</v>
      </c>
      <c r="AO53" s="24">
        <f t="shared" ca="1" si="47"/>
        <v>72.370171260899141</v>
      </c>
      <c r="AP53" s="24">
        <f t="shared" ca="1" si="47"/>
        <v>86.494283395502265</v>
      </c>
      <c r="AQ53" s="24">
        <f t="shared" ca="1" si="47"/>
        <v>115.93460225614504</v>
      </c>
      <c r="AR53" s="24">
        <f t="shared" ca="1" si="47"/>
        <v>107.66800644887223</v>
      </c>
      <c r="AS53" s="24">
        <f t="shared" ca="1" si="47"/>
        <v>79.211507712596216</v>
      </c>
      <c r="AT53" s="24">
        <f t="shared" ca="1" si="47"/>
        <v>88.295506128379628</v>
      </c>
      <c r="AU53" s="24">
        <f t="shared" ca="1" si="47"/>
        <v>119.43688593674268</v>
      </c>
      <c r="AV53" s="24">
        <f t="shared" ca="1" si="47"/>
        <v>110.45357745687656</v>
      </c>
      <c r="AW53" s="24">
        <f t="shared" ca="1" si="47"/>
        <v>80.759622890546879</v>
      </c>
      <c r="AX53" s="24">
        <f t="shared" ca="1" si="47"/>
        <v>90.07895179537806</v>
      </c>
      <c r="AY53" s="24">
        <f t="shared" ca="1" si="47"/>
        <v>123.03551748654148</v>
      </c>
      <c r="AZ53" s="24">
        <f t="shared" ca="1" si="47"/>
        <v>113.27626432721213</v>
      </c>
      <c r="BA53" s="24">
        <f t="shared" ca="1" si="47"/>
        <v>82.282250781823322</v>
      </c>
      <c r="BB53" s="8" t="s">
        <v>75</v>
      </c>
    </row>
    <row r="54" spans="1:57" s="25" customFormat="1" x14ac:dyDescent="0.2">
      <c r="B54" s="26" t="s">
        <v>141</v>
      </c>
      <c r="C54" s="45" t="s">
        <v>177</v>
      </c>
      <c r="D54" s="26"/>
      <c r="E54" s="11"/>
      <c r="F54" s="11"/>
      <c r="G54" s="30">
        <f>+G53/G41</f>
        <v>0.61858181467068563</v>
      </c>
      <c r="H54" s="30">
        <f>+H53/H41</f>
        <v>0.52024782183372731</v>
      </c>
      <c r="I54" s="30"/>
      <c r="J54" s="30"/>
      <c r="K54" s="30"/>
      <c r="L54" s="30"/>
      <c r="M54" s="30"/>
      <c r="N54" s="30"/>
      <c r="V54" s="30">
        <f>+V53/V41</f>
        <v>0.57358788349027368</v>
      </c>
      <c r="W54" s="30">
        <f t="shared" ref="W54:AC54" si="48">+W53/W41</f>
        <v>0.69088845662367393</v>
      </c>
      <c r="X54" s="30">
        <f t="shared" si="48"/>
        <v>0.59196232281147088</v>
      </c>
      <c r="Y54" s="30">
        <f t="shared" si="48"/>
        <v>0.61294228714229237</v>
      </c>
      <c r="Z54" s="30">
        <f t="shared" si="48"/>
        <v>0.51712878076125335</v>
      </c>
      <c r="AA54" s="30">
        <f t="shared" si="48"/>
        <v>0.42354758974234658</v>
      </c>
      <c r="AB54" s="30">
        <f t="shared" si="48"/>
        <v>0.56276129511953299</v>
      </c>
      <c r="AC54" s="30">
        <f t="shared" si="48"/>
        <v>0.57670916152111829</v>
      </c>
      <c r="AD54" s="30">
        <f t="shared" ref="AD54:BA54" ca="1" si="49">+AD53/AD41</f>
        <v>0.55818341891798195</v>
      </c>
      <c r="AE54" s="30">
        <f t="shared" ca="1" si="49"/>
        <v>0.50494207799400326</v>
      </c>
      <c r="AF54" s="30">
        <f t="shared" ca="1" si="49"/>
        <v>0.57123202902631376</v>
      </c>
      <c r="AG54" s="30">
        <f t="shared" ca="1" si="49"/>
        <v>0.47664757652339335</v>
      </c>
      <c r="AH54" s="30">
        <f t="shared" ca="1" si="49"/>
        <v>0.56872633445620058</v>
      </c>
      <c r="AI54" s="30">
        <f t="shared" ca="1" si="49"/>
        <v>0.59806980341628291</v>
      </c>
      <c r="AJ54" s="30">
        <f t="shared" ca="1" si="49"/>
        <v>0.60743221878652531</v>
      </c>
      <c r="AK54" s="30">
        <f t="shared" ca="1" si="49"/>
        <v>0.5349490728335683</v>
      </c>
      <c r="AL54" s="30">
        <f t="shared" ca="1" si="49"/>
        <v>0.59230550768249335</v>
      </c>
      <c r="AM54" s="30">
        <f t="shared" ca="1" si="49"/>
        <v>0.64769725348783558</v>
      </c>
      <c r="AN54" s="30">
        <f t="shared" ca="1" si="49"/>
        <v>0.634972376575895</v>
      </c>
      <c r="AO54" s="30">
        <f t="shared" ca="1" si="49"/>
        <v>0.57900297633723563</v>
      </c>
      <c r="AP54" s="30">
        <f t="shared" ca="1" si="49"/>
        <v>0.61014881114754327</v>
      </c>
      <c r="AQ54" s="30">
        <f t="shared" ca="1" si="49"/>
        <v>0.6726351213296895</v>
      </c>
      <c r="AR54" s="30">
        <f t="shared" ca="1" si="49"/>
        <v>0.65510784372165132</v>
      </c>
      <c r="AS54" s="30">
        <f t="shared" ca="1" si="49"/>
        <v>0.60984307183845121</v>
      </c>
      <c r="AT54" s="30">
        <f t="shared" ca="1" si="49"/>
        <v>0.59867913147751128</v>
      </c>
      <c r="AU54" s="30">
        <f t="shared" ca="1" si="49"/>
        <v>0.66471139376985711</v>
      </c>
      <c r="AV54" s="30">
        <f t="shared" ca="1" si="49"/>
        <v>0.64549832382384054</v>
      </c>
      <c r="AW54" s="30">
        <f t="shared" ca="1" si="49"/>
        <v>0.59818249706688364</v>
      </c>
      <c r="AX54" s="30">
        <f t="shared" ca="1" si="49"/>
        <v>0.58692052391785132</v>
      </c>
      <c r="AY54" s="30">
        <f t="shared" ca="1" si="49"/>
        <v>0.65665312241923768</v>
      </c>
      <c r="AZ54" s="30">
        <f t="shared" ca="1" si="49"/>
        <v>0.63567113593736657</v>
      </c>
      <c r="BA54" s="30">
        <f t="shared" ca="1" si="49"/>
        <v>0.58621180546859664</v>
      </c>
      <c r="BB54" s="8" t="s">
        <v>75</v>
      </c>
    </row>
    <row r="55" spans="1:57" x14ac:dyDescent="0.2">
      <c r="B55" s="22" t="s">
        <v>143</v>
      </c>
      <c r="C55" s="45" t="s">
        <v>187</v>
      </c>
      <c r="E55" s="11"/>
      <c r="F55" s="11"/>
      <c r="G55" s="11">
        <f>+SUMIFS(55:55,$6:$6,G$3)</f>
        <v>15.899522603703844</v>
      </c>
      <c r="H55" s="11">
        <f>+SUMIFS(55:55,$6:$6,H$3)</f>
        <v>16.81199739974732</v>
      </c>
      <c r="I55" s="11"/>
      <c r="J55" s="11"/>
      <c r="K55" s="11"/>
      <c r="L55" s="11"/>
      <c r="M55" s="11"/>
      <c r="N55" s="11"/>
      <c r="R55" s="25"/>
      <c r="S55" s="25"/>
      <c r="T55" s="25"/>
      <c r="U55" s="25"/>
      <c r="V55" s="12">
        <v>1.0196810636826248</v>
      </c>
      <c r="W55" s="12">
        <v>6.7258377262303117</v>
      </c>
      <c r="X55" s="12">
        <v>5.439838109816387</v>
      </c>
      <c r="Y55" s="12">
        <v>2.7141657039745191</v>
      </c>
      <c r="Z55" s="12">
        <v>1.1678373576068588</v>
      </c>
      <c r="AA55" s="12">
        <v>10.112350264303581</v>
      </c>
      <c r="AB55" s="12">
        <v>3.9096253856970669</v>
      </c>
      <c r="AC55" s="12">
        <v>1.6221843921398116</v>
      </c>
      <c r="BB55" s="8" t="s">
        <v>75</v>
      </c>
    </row>
    <row r="56" spans="1:57" x14ac:dyDescent="0.2">
      <c r="B56" s="18" t="s">
        <v>144</v>
      </c>
      <c r="C56" s="45" t="s">
        <v>187</v>
      </c>
      <c r="E56" s="11"/>
      <c r="F56" s="11"/>
      <c r="G56" s="13">
        <f>+SUMIFS(56:56,$6:$6,G$3)</f>
        <v>249.76386179688166</v>
      </c>
      <c r="H56" s="13">
        <f>+SUMIFS(56:56,$6:$6,H$3)</f>
        <v>268.7200392860214</v>
      </c>
      <c r="I56" s="13">
        <f t="shared" ref="I56:N56" ca="1" si="50">+SUMIFS(56:56,$6:$6,I$3)</f>
        <v>283.89353917047833</v>
      </c>
      <c r="J56" s="13">
        <f t="shared" ca="1" si="50"/>
        <v>325.99038333394901</v>
      </c>
      <c r="K56" s="13">
        <f t="shared" ca="1" si="50"/>
        <v>360.47033615254173</v>
      </c>
      <c r="L56" s="13">
        <f t="shared" ca="1" si="50"/>
        <v>389.30839981311578</v>
      </c>
      <c r="M56" s="13">
        <f t="shared" ca="1" si="50"/>
        <v>398.94559241254581</v>
      </c>
      <c r="N56" s="13">
        <f t="shared" ca="1" si="50"/>
        <v>408.67298439095498</v>
      </c>
      <c r="P56" s="97">
        <f ca="1">+(N56/I56)^(1/5)-1</f>
        <v>7.5583383011128102E-2</v>
      </c>
      <c r="R56" s="25"/>
      <c r="S56" s="25"/>
      <c r="T56" s="25"/>
      <c r="U56" s="25"/>
      <c r="V56" s="24">
        <f t="shared" ref="V56:BA56" si="51">+V53+V55</f>
        <v>54.506564469599624</v>
      </c>
      <c r="W56" s="24">
        <f t="shared" si="51"/>
        <v>77.621811061602443</v>
      </c>
      <c r="X56" s="24">
        <f t="shared" si="51"/>
        <v>67.418293308177397</v>
      </c>
      <c r="Y56" s="24">
        <f t="shared" si="51"/>
        <v>50.217192957502178</v>
      </c>
      <c r="Z56" s="24">
        <f t="shared" si="51"/>
        <v>48.571912679664024</v>
      </c>
      <c r="AA56" s="24">
        <f t="shared" si="51"/>
        <v>65.524876155400577</v>
      </c>
      <c r="AB56" s="24">
        <f t="shared" si="51"/>
        <v>78.123218005480254</v>
      </c>
      <c r="AC56" s="24">
        <f t="shared" si="51"/>
        <v>76.500032445476563</v>
      </c>
      <c r="AD56" s="24">
        <f t="shared" ca="1" si="51"/>
        <v>69.919433624685098</v>
      </c>
      <c r="AE56" s="24">
        <f t="shared" ca="1" si="51"/>
        <v>76.34638257225977</v>
      </c>
      <c r="AF56" s="24">
        <f t="shared" ca="1" si="51"/>
        <v>82.740382690096183</v>
      </c>
      <c r="AG56" s="24">
        <f t="shared" ca="1" si="51"/>
        <v>54.887340283437297</v>
      </c>
      <c r="AH56" s="24">
        <f t="shared" ca="1" si="51"/>
        <v>74.538955651440205</v>
      </c>
      <c r="AI56" s="24">
        <f t="shared" ca="1" si="51"/>
        <v>94.926819753244644</v>
      </c>
      <c r="AJ56" s="24">
        <f t="shared" ca="1" si="51"/>
        <v>92.167392349994117</v>
      </c>
      <c r="AK56" s="24">
        <f t="shared" ca="1" si="51"/>
        <v>64.357215579270033</v>
      </c>
      <c r="AL56" s="24">
        <f t="shared" ca="1" si="51"/>
        <v>80.725315153320551</v>
      </c>
      <c r="AM56" s="24">
        <f t="shared" ca="1" si="51"/>
        <v>107.11490560246902</v>
      </c>
      <c r="AN56" s="24">
        <f t="shared" ca="1" si="51"/>
        <v>100.259944135853</v>
      </c>
      <c r="AO56" s="24">
        <f t="shared" ca="1" si="51"/>
        <v>72.370171260899141</v>
      </c>
      <c r="AP56" s="24">
        <f t="shared" ca="1" si="51"/>
        <v>86.494283395502265</v>
      </c>
      <c r="AQ56" s="24">
        <f t="shared" ca="1" si="51"/>
        <v>115.93460225614504</v>
      </c>
      <c r="AR56" s="24">
        <f t="shared" ca="1" si="51"/>
        <v>107.66800644887223</v>
      </c>
      <c r="AS56" s="24">
        <f t="shared" ca="1" si="51"/>
        <v>79.211507712596216</v>
      </c>
      <c r="AT56" s="24">
        <f t="shared" ca="1" si="51"/>
        <v>88.295506128379628</v>
      </c>
      <c r="AU56" s="24">
        <f t="shared" ca="1" si="51"/>
        <v>119.43688593674268</v>
      </c>
      <c r="AV56" s="24">
        <f t="shared" ca="1" si="51"/>
        <v>110.45357745687656</v>
      </c>
      <c r="AW56" s="24">
        <f t="shared" ca="1" si="51"/>
        <v>80.759622890546879</v>
      </c>
      <c r="AX56" s="24">
        <f t="shared" ca="1" si="51"/>
        <v>90.07895179537806</v>
      </c>
      <c r="AY56" s="24">
        <f t="shared" ca="1" si="51"/>
        <v>123.03551748654148</v>
      </c>
      <c r="AZ56" s="24">
        <f t="shared" ca="1" si="51"/>
        <v>113.27626432721213</v>
      </c>
      <c r="BA56" s="24">
        <f t="shared" ca="1" si="51"/>
        <v>82.282250781823322</v>
      </c>
      <c r="BB56" s="8" t="s">
        <v>75</v>
      </c>
    </row>
    <row r="57" spans="1:57" x14ac:dyDescent="0.2">
      <c r="B57" s="26" t="s">
        <v>141</v>
      </c>
      <c r="C57" s="45" t="s">
        <v>177</v>
      </c>
      <c r="E57" s="11"/>
      <c r="F57" s="11"/>
      <c r="G57" s="30">
        <f>+G56/G41</f>
        <v>0.66063677515986319</v>
      </c>
      <c r="H57" s="30">
        <f t="shared" ref="H57:N57" si="52">+H56/H41</f>
        <v>0.5549684483067856</v>
      </c>
      <c r="I57" s="30">
        <f t="shared" ca="1" si="52"/>
        <v>0.52919881652885992</v>
      </c>
      <c r="J57" s="30">
        <f t="shared" ca="1" si="52"/>
        <v>0.58023675859845347</v>
      </c>
      <c r="K57" s="30">
        <f t="shared" ca="1" si="52"/>
        <v>0.61665705404281779</v>
      </c>
      <c r="L57" s="30">
        <f t="shared" ca="1" si="52"/>
        <v>0.63993298578088353</v>
      </c>
      <c r="M57" s="30">
        <f t="shared" ca="1" si="52"/>
        <v>0.62995902040866469</v>
      </c>
      <c r="N57" s="30">
        <f t="shared" ca="1" si="52"/>
        <v>0.6197583396318247</v>
      </c>
      <c r="P57" s="97"/>
      <c r="R57" s="25"/>
      <c r="S57" s="25"/>
      <c r="T57" s="25"/>
      <c r="U57" s="25"/>
      <c r="V57" s="30">
        <f t="shared" ref="V57:AC57" si="53">+V56/V41</f>
        <v>0.58452283923847348</v>
      </c>
      <c r="W57" s="30">
        <f t="shared" si="53"/>
        <v>0.75643242798852028</v>
      </c>
      <c r="X57" s="30">
        <f t="shared" si="53"/>
        <v>0.64391875174954527</v>
      </c>
      <c r="Y57" s="30">
        <f t="shared" si="53"/>
        <v>0.64796378009680233</v>
      </c>
      <c r="Z57" s="30">
        <f t="shared" si="53"/>
        <v>0.5298686624014648</v>
      </c>
      <c r="AA57" s="30">
        <f t="shared" si="53"/>
        <v>0.50084169449934191</v>
      </c>
      <c r="AB57" s="30">
        <f t="shared" si="53"/>
        <v>0.59240796452090871</v>
      </c>
      <c r="AC57" s="30">
        <f t="shared" si="53"/>
        <v>0.58920322518541057</v>
      </c>
      <c r="AD57" s="103">
        <f ca="1">+AD79</f>
        <v>0.55818341891798184</v>
      </c>
      <c r="AE57" s="103">
        <f t="shared" ref="AE57:BA57" ca="1" si="54">+AE79</f>
        <v>0.50494207799400326</v>
      </c>
      <c r="AF57" s="103">
        <f t="shared" ca="1" si="54"/>
        <v>0.57123202902631376</v>
      </c>
      <c r="AG57" s="103">
        <f t="shared" ca="1" si="54"/>
        <v>0.47664757652339329</v>
      </c>
      <c r="AH57" s="103">
        <f t="shared" ca="1" si="54"/>
        <v>0.56872633445620058</v>
      </c>
      <c r="AI57" s="103">
        <f t="shared" ca="1" si="54"/>
        <v>0.59806980341628291</v>
      </c>
      <c r="AJ57" s="103">
        <f t="shared" ca="1" si="54"/>
        <v>0.60743221878652531</v>
      </c>
      <c r="AK57" s="103">
        <f t="shared" ca="1" si="54"/>
        <v>0.5349490728335683</v>
      </c>
      <c r="AL57" s="103">
        <f t="shared" ca="1" si="54"/>
        <v>0.59230550768249335</v>
      </c>
      <c r="AM57" s="103">
        <f t="shared" ca="1" si="54"/>
        <v>0.64769725348783558</v>
      </c>
      <c r="AN57" s="103">
        <f t="shared" ca="1" si="54"/>
        <v>0.634972376575895</v>
      </c>
      <c r="AO57" s="103">
        <f t="shared" ca="1" si="54"/>
        <v>0.57900297633723563</v>
      </c>
      <c r="AP57" s="103">
        <f t="shared" ca="1" si="54"/>
        <v>0.61014881114754327</v>
      </c>
      <c r="AQ57" s="103">
        <f t="shared" ca="1" si="54"/>
        <v>0.6726351213296895</v>
      </c>
      <c r="AR57" s="103">
        <f t="shared" ca="1" si="54"/>
        <v>0.65510784372165121</v>
      </c>
      <c r="AS57" s="103">
        <f t="shared" ca="1" si="54"/>
        <v>0.60984307183845121</v>
      </c>
      <c r="AT57" s="103">
        <f t="shared" ca="1" si="54"/>
        <v>0.59867913147751128</v>
      </c>
      <c r="AU57" s="103">
        <f t="shared" ca="1" si="54"/>
        <v>0.66471139376985711</v>
      </c>
      <c r="AV57" s="103">
        <f t="shared" ca="1" si="54"/>
        <v>0.64549832382384065</v>
      </c>
      <c r="AW57" s="103">
        <f t="shared" ca="1" si="54"/>
        <v>0.59818249706688364</v>
      </c>
      <c r="AX57" s="103">
        <f t="shared" ca="1" si="54"/>
        <v>0.58692052391785121</v>
      </c>
      <c r="AY57" s="103">
        <f t="shared" ca="1" si="54"/>
        <v>0.65665312241923779</v>
      </c>
      <c r="AZ57" s="103">
        <f t="shared" ca="1" si="54"/>
        <v>0.63567113593736657</v>
      </c>
      <c r="BA57" s="103">
        <f t="shared" ca="1" si="54"/>
        <v>0.58621180546859664</v>
      </c>
      <c r="BB57" s="8" t="s">
        <v>75</v>
      </c>
    </row>
    <row r="58" spans="1:57" x14ac:dyDescent="0.2">
      <c r="E58" s="11"/>
      <c r="F58" s="11"/>
      <c r="G58" s="11"/>
      <c r="H58" s="11"/>
      <c r="I58" s="11"/>
      <c r="J58" s="11"/>
      <c r="K58" s="11"/>
      <c r="L58" s="11"/>
      <c r="M58" s="11"/>
      <c r="N58" s="11"/>
      <c r="R58" s="25"/>
      <c r="S58" s="25"/>
      <c r="T58" s="25"/>
      <c r="U58" s="25"/>
      <c r="V58" s="12"/>
      <c r="W58" s="12"/>
      <c r="X58" s="12"/>
      <c r="Y58" s="12"/>
      <c r="Z58" s="12"/>
      <c r="AA58" s="12"/>
      <c r="AB58" s="12"/>
      <c r="AC58" s="12"/>
      <c r="BB58" s="8" t="s">
        <v>75</v>
      </c>
    </row>
    <row r="59" spans="1:57" x14ac:dyDescent="0.2">
      <c r="B59" s="1" t="s">
        <v>399</v>
      </c>
      <c r="C59" s="45" t="s">
        <v>187</v>
      </c>
      <c r="E59" s="11"/>
      <c r="F59" s="11"/>
      <c r="G59" s="11">
        <f t="shared" ref="G59:N59" ca="1" si="55">+SUMIFS(59:59,$6:$6,G$3)</f>
        <v>393.95565547417522</v>
      </c>
      <c r="H59" s="11">
        <f t="shared" ca="1" si="55"/>
        <v>500.40537690316592</v>
      </c>
      <c r="I59" s="11">
        <f t="shared" ca="1" si="55"/>
        <v>435.79386968246519</v>
      </c>
      <c r="J59" s="11">
        <f t="shared" ca="1" si="55"/>
        <v>448.86768577293913</v>
      </c>
      <c r="K59" s="11">
        <f t="shared" ca="1" si="55"/>
        <v>462.33371634612729</v>
      </c>
      <c r="L59" s="11">
        <f t="shared" ca="1" si="55"/>
        <v>422.82064297449682</v>
      </c>
      <c r="M59" s="11">
        <f t="shared" ca="1" si="55"/>
        <v>435.50526226373165</v>
      </c>
      <c r="N59" s="11">
        <f t="shared" ca="1" si="55"/>
        <v>448.57042013164357</v>
      </c>
      <c r="R59" s="25"/>
      <c r="S59" s="25"/>
      <c r="T59" s="25"/>
      <c r="U59" s="25"/>
      <c r="V59" s="11">
        <f ca="1">+(V89+V101)*V$9</f>
        <v>101.49944330337897</v>
      </c>
      <c r="W59" s="11">
        <f t="shared" ref="W59:BA59" ca="1" si="56">+(W89+W101)*W$9</f>
        <v>107.25155121618457</v>
      </c>
      <c r="X59" s="11">
        <f t="shared" ca="1" si="56"/>
        <v>108.03260744894513</v>
      </c>
      <c r="Y59" s="11">
        <f t="shared" ca="1" si="56"/>
        <v>77.172053505666554</v>
      </c>
      <c r="Z59" s="11">
        <f t="shared" ca="1" si="56"/>
        <v>109.85002492641814</v>
      </c>
      <c r="AA59" s="11">
        <f t="shared" ca="1" si="56"/>
        <v>130.19835972717254</v>
      </c>
      <c r="AB59" s="11">
        <f t="shared" ca="1" si="56"/>
        <v>131.37161418831874</v>
      </c>
      <c r="AC59" s="11">
        <f t="shared" ca="1" si="56"/>
        <v>128.98537806125645</v>
      </c>
      <c r="AD59" s="11">
        <f t="shared" ca="1" si="56"/>
        <v>103.9725445223344</v>
      </c>
      <c r="AE59" s="11">
        <f t="shared" ca="1" si="56"/>
        <v>116.01453219487205</v>
      </c>
      <c r="AF59" s="11">
        <f t="shared" ca="1" si="56"/>
        <v>116.95741742122166</v>
      </c>
      <c r="AG59" s="11">
        <f t="shared" ca="1" si="56"/>
        <v>98.849375544037045</v>
      </c>
      <c r="AH59" s="11">
        <f t="shared" ca="1" si="56"/>
        <v>107.09172085800446</v>
      </c>
      <c r="AI59" s="11">
        <f t="shared" ca="1" si="56"/>
        <v>119.4949681607182</v>
      </c>
      <c r="AJ59" s="11">
        <f t="shared" ca="1" si="56"/>
        <v>120.46613994385829</v>
      </c>
      <c r="AK59" s="11">
        <f t="shared" ca="1" si="56"/>
        <v>101.81485681035817</v>
      </c>
      <c r="AL59" s="11">
        <f t="shared" ca="1" si="56"/>
        <v>110.3044724837446</v>
      </c>
      <c r="AM59" s="11">
        <f t="shared" ca="1" si="56"/>
        <v>123.07981720553975</v>
      </c>
      <c r="AN59" s="11">
        <f t="shared" ca="1" si="56"/>
        <v>124.08012414217404</v>
      </c>
      <c r="AO59" s="11">
        <f t="shared" ca="1" si="56"/>
        <v>104.86930251466892</v>
      </c>
      <c r="AP59" s="11">
        <f t="shared" ca="1" si="56"/>
        <v>100.87736699614433</v>
      </c>
      <c r="AQ59" s="11">
        <f t="shared" ca="1" si="56"/>
        <v>112.56087455466792</v>
      </c>
      <c r="AR59" s="11">
        <f t="shared" ca="1" si="56"/>
        <v>113.47569085978664</v>
      </c>
      <c r="AS59" s="11">
        <f t="shared" ca="1" si="56"/>
        <v>95.90671056389796</v>
      </c>
      <c r="AT59" s="11">
        <f t="shared" ca="1" si="56"/>
        <v>103.90368800602866</v>
      </c>
      <c r="AU59" s="11">
        <f t="shared" ca="1" si="56"/>
        <v>115.93770079130795</v>
      </c>
      <c r="AV59" s="11">
        <f t="shared" ca="1" si="56"/>
        <v>116.8799615855802</v>
      </c>
      <c r="AW59" s="11">
        <f t="shared" ca="1" si="56"/>
        <v>98.78391188081487</v>
      </c>
      <c r="AX59" s="11">
        <f t="shared" ca="1" si="56"/>
        <v>107.02079864620951</v>
      </c>
      <c r="AY59" s="11">
        <f t="shared" ca="1" si="56"/>
        <v>119.41583181504716</v>
      </c>
      <c r="AZ59" s="11">
        <f t="shared" ca="1" si="56"/>
        <v>120.38636043314759</v>
      </c>
      <c r="BA59" s="11">
        <f t="shared" ca="1" si="56"/>
        <v>101.7474292372393</v>
      </c>
      <c r="BB59" s="8" t="s">
        <v>75</v>
      </c>
    </row>
    <row r="60" spans="1:57" x14ac:dyDescent="0.2">
      <c r="E60" s="11"/>
      <c r="F60" s="11"/>
      <c r="G60" s="11"/>
      <c r="H60" s="11"/>
      <c r="I60" s="11"/>
      <c r="J60" s="11"/>
      <c r="K60" s="11"/>
      <c r="L60" s="11"/>
      <c r="M60" s="11"/>
      <c r="N60" s="11"/>
      <c r="R60" s="25"/>
      <c r="S60" s="25"/>
      <c r="T60" s="25"/>
      <c r="U60" s="25"/>
      <c r="V60" s="12"/>
      <c r="W60" s="12"/>
      <c r="X60" s="12"/>
      <c r="Y60" s="12"/>
      <c r="Z60" s="12"/>
      <c r="AA60" s="12"/>
      <c r="AB60" s="12"/>
      <c r="AC60" s="12"/>
      <c r="BB60" s="8" t="s">
        <v>75</v>
      </c>
    </row>
    <row r="61" spans="1:57" s="35" customFormat="1" x14ac:dyDescent="0.2">
      <c r="A61" s="17" t="s">
        <v>75</v>
      </c>
      <c r="B61" s="36" t="s">
        <v>246</v>
      </c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37"/>
      <c r="P61" s="37"/>
      <c r="Q61" s="37"/>
      <c r="U61" s="37"/>
      <c r="V61" s="37"/>
      <c r="W61" s="37"/>
      <c r="X61" s="37"/>
      <c r="Y61" s="44"/>
      <c r="Z61" s="44"/>
      <c r="AA61" s="44"/>
      <c r="AB61" s="44"/>
      <c r="AC61" s="44"/>
      <c r="AD61" s="44"/>
      <c r="AE61" s="44"/>
      <c r="AF61" s="44"/>
      <c r="BB61" s="90" t="s">
        <v>75</v>
      </c>
      <c r="BE61" s="90"/>
    </row>
    <row r="62" spans="1:57" x14ac:dyDescent="0.2">
      <c r="B62" s="2" t="s">
        <v>132</v>
      </c>
      <c r="C62" s="45" t="s">
        <v>164</v>
      </c>
      <c r="D62" s="2"/>
      <c r="E62" s="11"/>
      <c r="F62" s="11"/>
      <c r="G62" s="13">
        <f t="shared" ref="G62:N63" ca="1" si="57">+SUMIFS(62:62,$6:$6,G$3)</f>
        <v>90.898852504136087</v>
      </c>
      <c r="H62" s="13">
        <f t="shared" ca="1" si="57"/>
        <v>65.910790813670133</v>
      </c>
      <c r="I62" s="13">
        <f t="shared" ca="1" si="57"/>
        <v>95.766200666201598</v>
      </c>
      <c r="J62" s="13">
        <f t="shared" ca="1" si="57"/>
        <v>97.363165256938686</v>
      </c>
      <c r="K62" s="13">
        <f t="shared" ca="1" si="57"/>
        <v>99.31176068828286</v>
      </c>
      <c r="L62" s="13">
        <f t="shared" ca="1" si="57"/>
        <v>101.3243589353618</v>
      </c>
      <c r="M62" s="13">
        <f t="shared" ca="1" si="57"/>
        <v>103.40361121885543</v>
      </c>
      <c r="N62" s="13">
        <f t="shared" ca="1" si="57"/>
        <v>105.55228592733047</v>
      </c>
      <c r="P62" s="97">
        <f ca="1">+(N62/I62)^(1/5)-1</f>
        <v>1.9649890747675203E-2</v>
      </c>
      <c r="R62" s="25"/>
      <c r="S62" s="25"/>
      <c r="T62" s="25"/>
      <c r="U62" s="25"/>
      <c r="V62" s="24">
        <f t="shared" ref="V62:BA62" ca="1" si="58">+V63+V64</f>
        <v>23.911603479798075</v>
      </c>
      <c r="W62" s="24">
        <f t="shared" ca="1" si="58"/>
        <v>25.497840723240657</v>
      </c>
      <c r="X62" s="24">
        <f t="shared" ca="1" si="58"/>
        <v>22.077998859520815</v>
      </c>
      <c r="Y62" s="24">
        <f t="shared" ca="1" si="58"/>
        <v>19.411409441576538</v>
      </c>
      <c r="Z62" s="24">
        <f t="shared" ca="1" si="58"/>
        <v>1.374924887236368</v>
      </c>
      <c r="AA62" s="24">
        <f t="shared" ca="1" si="58"/>
        <v>17.465813231245665</v>
      </c>
      <c r="AB62" s="24">
        <f t="shared" ca="1" si="58"/>
        <v>18.576402909553188</v>
      </c>
      <c r="AC62" s="24">
        <f t="shared" ca="1" si="58"/>
        <v>28.493649785634918</v>
      </c>
      <c r="AD62" s="24">
        <f t="shared" ca="1" si="58"/>
        <v>23.23927972645437</v>
      </c>
      <c r="AE62" s="24">
        <f t="shared" ca="1" si="58"/>
        <v>26.789185738222336</v>
      </c>
      <c r="AF62" s="24">
        <f t="shared" ca="1" si="58"/>
        <v>25.53655302509334</v>
      </c>
      <c r="AG62" s="24">
        <f t="shared" ca="1" si="58"/>
        <v>20.201182176431551</v>
      </c>
      <c r="AH62" s="24">
        <f t="shared" ca="1" si="58"/>
        <v>22.87845228182243</v>
      </c>
      <c r="AI62" s="24">
        <f t="shared" ca="1" si="58"/>
        <v>27.569470170491883</v>
      </c>
      <c r="AJ62" s="24">
        <f t="shared" ca="1" si="58"/>
        <v>26.225001924803145</v>
      </c>
      <c r="AK62" s="24">
        <f t="shared" ca="1" si="58"/>
        <v>20.690240879821239</v>
      </c>
      <c r="AL62" s="24">
        <f t="shared" ca="1" si="58"/>
        <v>23.323268183097753</v>
      </c>
      <c r="AM62" s="24">
        <f t="shared" ca="1" si="58"/>
        <v>28.16099333617575</v>
      </c>
      <c r="AN62" s="24">
        <f t="shared" ca="1" si="58"/>
        <v>26.753920345476118</v>
      </c>
      <c r="AO62" s="24">
        <f t="shared" ca="1" si="58"/>
        <v>21.073578823533239</v>
      </c>
      <c r="AP62" s="24">
        <f t="shared" ca="1" si="58"/>
        <v>23.782407447371117</v>
      </c>
      <c r="AQ62" s="24">
        <f t="shared" ca="1" si="58"/>
        <v>28.772818363872688</v>
      </c>
      <c r="AR62" s="24">
        <f t="shared" ca="1" si="58"/>
        <v>27.300300551538385</v>
      </c>
      <c r="AS62" s="24">
        <f t="shared" ca="1" si="58"/>
        <v>21.468832572579622</v>
      </c>
      <c r="AT62" s="24">
        <f t="shared" ca="1" si="58"/>
        <v>24.25645956026726</v>
      </c>
      <c r="AU62" s="24">
        <f t="shared" ca="1" si="58"/>
        <v>29.405797906341505</v>
      </c>
      <c r="AV62" s="24">
        <f t="shared" ca="1" si="58"/>
        <v>27.864867063775257</v>
      </c>
      <c r="AW62" s="24">
        <f t="shared" ca="1" si="58"/>
        <v>21.876486688471417</v>
      </c>
      <c r="AX62" s="24">
        <f t="shared" ca="1" si="58"/>
        <v>24.746040018386161</v>
      </c>
      <c r="AY62" s="24">
        <f t="shared" ca="1" si="58"/>
        <v>30.06082242231534</v>
      </c>
      <c r="AZ62" s="24">
        <f t="shared" ca="1" si="58"/>
        <v>28.448376435050381</v>
      </c>
      <c r="BA62" s="24">
        <f t="shared" ca="1" si="58"/>
        <v>22.297047051578588</v>
      </c>
      <c r="BB62" s="8" t="s">
        <v>75</v>
      </c>
    </row>
    <row r="63" spans="1:57" x14ac:dyDescent="0.2">
      <c r="B63" s="19" t="s">
        <v>133</v>
      </c>
      <c r="C63" s="45" t="s">
        <v>164</v>
      </c>
      <c r="D63" s="19"/>
      <c r="E63" s="11"/>
      <c r="F63" s="11"/>
      <c r="G63" s="11">
        <f t="shared" ca="1" si="57"/>
        <v>96.116793932074998</v>
      </c>
      <c r="H63" s="11">
        <f t="shared" ca="1" si="57"/>
        <v>93.364920225182701</v>
      </c>
      <c r="I63" s="11">
        <f t="shared" ca="1" si="57"/>
        <v>95.766200666201598</v>
      </c>
      <c r="J63" s="11">
        <f t="shared" ca="1" si="57"/>
        <v>97.363165256938686</v>
      </c>
      <c r="K63" s="11">
        <f t="shared" ca="1" si="57"/>
        <v>99.31176068828286</v>
      </c>
      <c r="L63" s="11">
        <f t="shared" ca="1" si="57"/>
        <v>101.3243589353618</v>
      </c>
      <c r="M63" s="11">
        <f t="shared" ca="1" si="57"/>
        <v>103.40361121885543</v>
      </c>
      <c r="N63" s="11">
        <f t="shared" ca="1" si="57"/>
        <v>105.55228592733047</v>
      </c>
      <c r="P63" s="97">
        <f ca="1">+(N63/I63)^(1/5)-1</f>
        <v>1.9649890747675203E-2</v>
      </c>
      <c r="R63" s="25"/>
      <c r="S63" s="25"/>
      <c r="T63" s="25"/>
      <c r="U63" s="25"/>
      <c r="V63" s="23">
        <f t="shared" ref="V63:AC69" ca="1" si="59">+V41/V$9</f>
        <v>24.763703580975051</v>
      </c>
      <c r="W63" s="23">
        <f t="shared" ca="1" si="59"/>
        <v>26.167095468482646</v>
      </c>
      <c r="X63" s="23">
        <f t="shared" ca="1" si="59"/>
        <v>26.357656563190755</v>
      </c>
      <c r="Y63" s="23">
        <f t="shared" ca="1" si="59"/>
        <v>18.828338319426553</v>
      </c>
      <c r="Z63" s="23">
        <f t="shared" ca="1" si="59"/>
        <v>20.495660693058539</v>
      </c>
      <c r="AA63" s="23">
        <f t="shared" ca="1" si="59"/>
        <v>24.29222392574215</v>
      </c>
      <c r="AB63" s="23">
        <f t="shared" ca="1" si="59"/>
        <v>24.511128066714146</v>
      </c>
      <c r="AC63" s="23">
        <f t="shared" ca="1" si="59"/>
        <v>24.065907539667862</v>
      </c>
      <c r="AD63" s="106">
        <f ca="1">+AD87</f>
        <v>23.23927972645437</v>
      </c>
      <c r="AE63" s="23">
        <f t="shared" ref="AE63:BA63" ca="1" si="60">+AE87</f>
        <v>26.789185738222336</v>
      </c>
      <c r="AF63" s="23">
        <f t="shared" ca="1" si="60"/>
        <v>25.53655302509334</v>
      </c>
      <c r="AG63" s="23">
        <f t="shared" ca="1" si="60"/>
        <v>20.201182176431551</v>
      </c>
      <c r="AH63" s="23">
        <f t="shared" ca="1" si="60"/>
        <v>22.87845228182243</v>
      </c>
      <c r="AI63" s="23">
        <f t="shared" ca="1" si="60"/>
        <v>27.569470170491883</v>
      </c>
      <c r="AJ63" s="23">
        <f t="shared" ca="1" si="60"/>
        <v>26.225001924803145</v>
      </c>
      <c r="AK63" s="23">
        <f t="shared" ca="1" si="60"/>
        <v>20.690240879821239</v>
      </c>
      <c r="AL63" s="23">
        <f t="shared" ca="1" si="60"/>
        <v>23.323268183097753</v>
      </c>
      <c r="AM63" s="23">
        <f t="shared" ca="1" si="60"/>
        <v>28.16099333617575</v>
      </c>
      <c r="AN63" s="23">
        <f t="shared" ca="1" si="60"/>
        <v>26.753920345476118</v>
      </c>
      <c r="AO63" s="23">
        <f t="shared" ca="1" si="60"/>
        <v>21.073578823533239</v>
      </c>
      <c r="AP63" s="23">
        <f t="shared" ca="1" si="60"/>
        <v>23.782407447371117</v>
      </c>
      <c r="AQ63" s="23">
        <f t="shared" ca="1" si="60"/>
        <v>28.772818363872688</v>
      </c>
      <c r="AR63" s="23">
        <f t="shared" ca="1" si="60"/>
        <v>27.300300551538385</v>
      </c>
      <c r="AS63" s="23">
        <f t="shared" ca="1" si="60"/>
        <v>21.468832572579622</v>
      </c>
      <c r="AT63" s="23">
        <f t="shared" ca="1" si="60"/>
        <v>24.25645956026726</v>
      </c>
      <c r="AU63" s="23">
        <f t="shared" ca="1" si="60"/>
        <v>29.405797906341505</v>
      </c>
      <c r="AV63" s="23">
        <f t="shared" ca="1" si="60"/>
        <v>27.864867063775257</v>
      </c>
      <c r="AW63" s="23">
        <f t="shared" ca="1" si="60"/>
        <v>21.876486688471417</v>
      </c>
      <c r="AX63" s="23">
        <f t="shared" ca="1" si="60"/>
        <v>24.746040018386161</v>
      </c>
      <c r="AY63" s="23">
        <f t="shared" ca="1" si="60"/>
        <v>30.06082242231534</v>
      </c>
      <c r="AZ63" s="23">
        <f t="shared" ca="1" si="60"/>
        <v>28.448376435050381</v>
      </c>
      <c r="BA63" s="23">
        <f t="shared" ca="1" si="60"/>
        <v>22.297047051578588</v>
      </c>
      <c r="BB63" s="8" t="s">
        <v>75</v>
      </c>
    </row>
    <row r="64" spans="1:57" x14ac:dyDescent="0.2">
      <c r="B64" s="19" t="s">
        <v>135</v>
      </c>
      <c r="C64" s="45" t="s">
        <v>164</v>
      </c>
      <c r="D64" s="19"/>
      <c r="E64" s="11"/>
      <c r="F64" s="11"/>
      <c r="G64" s="11">
        <f t="shared" ref="G64:H70" ca="1" si="61">+SUMIFS(64:64,$6:$6,G$3)</f>
        <v>-5.2179414279389222</v>
      </c>
      <c r="H64" s="11">
        <f t="shared" ca="1" si="61"/>
        <v>-27.454129411512557</v>
      </c>
      <c r="I64" s="11"/>
      <c r="J64" s="11"/>
      <c r="K64" s="11"/>
      <c r="L64" s="11"/>
      <c r="M64" s="11"/>
      <c r="N64" s="11"/>
      <c r="P64" s="97"/>
      <c r="R64" s="25"/>
      <c r="S64" s="25"/>
      <c r="T64" s="25"/>
      <c r="U64" s="25"/>
      <c r="V64" s="23">
        <f t="shared" ca="1" si="59"/>
        <v>-0.85210010117697532</v>
      </c>
      <c r="W64" s="23">
        <f t="shared" ca="1" si="59"/>
        <v>-0.66925474524198914</v>
      </c>
      <c r="X64" s="23">
        <f t="shared" ca="1" si="59"/>
        <v>-4.2796577036699412</v>
      </c>
      <c r="Y64" s="23">
        <f t="shared" ca="1" si="59"/>
        <v>0.58307112214998358</v>
      </c>
      <c r="Z64" s="23">
        <f t="shared" ca="1" si="59"/>
        <v>-19.120735805822171</v>
      </c>
      <c r="AA64" s="23">
        <f t="shared" ca="1" si="59"/>
        <v>-6.8264106944964835</v>
      </c>
      <c r="AB64" s="23">
        <f t="shared" ca="1" si="59"/>
        <v>-5.9347251571609574</v>
      </c>
      <c r="AC64" s="23">
        <f t="shared" ca="1" si="59"/>
        <v>4.4277422459670559</v>
      </c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8" t="s">
        <v>75</v>
      </c>
    </row>
    <row r="65" spans="2:54" x14ac:dyDescent="0.2">
      <c r="B65" s="2" t="s">
        <v>136</v>
      </c>
      <c r="C65" s="45" t="s">
        <v>164</v>
      </c>
      <c r="D65" s="2"/>
      <c r="E65" s="11"/>
      <c r="F65" s="11"/>
      <c r="G65" s="13">
        <f t="shared" ca="1" si="61"/>
        <v>-35.198146831289414</v>
      </c>
      <c r="H65" s="13">
        <f t="shared" ca="1" si="61"/>
        <v>-40.407210297206468</v>
      </c>
      <c r="I65" s="13">
        <f t="shared" ref="I65:N65" ca="1" si="62">+SUMIFS(65:65,$6:$6,I$3)</f>
        <v>-45.051291414706867</v>
      </c>
      <c r="J65" s="13">
        <f t="shared" ca="1" si="62"/>
        <v>-40.86498306528194</v>
      </c>
      <c r="K65" s="13">
        <f t="shared" ca="1" si="62"/>
        <v>-38.067797201555678</v>
      </c>
      <c r="L65" s="13">
        <f t="shared" ca="1" si="62"/>
        <v>-36.482683301822547</v>
      </c>
      <c r="M65" s="13">
        <f t="shared" ca="1" si="62"/>
        <v>-38.26254974775491</v>
      </c>
      <c r="N65" s="13">
        <f t="shared" ca="1" si="62"/>
        <v>-40.134190275977133</v>
      </c>
      <c r="P65" s="97">
        <f ca="1">+(N65/I65)^(1/5)-1</f>
        <v>-2.2849514551039785E-2</v>
      </c>
      <c r="R65" s="25"/>
      <c r="S65" s="25"/>
      <c r="T65" s="25"/>
      <c r="U65" s="25"/>
      <c r="V65" s="24">
        <f t="shared" ca="1" si="59"/>
        <v>-9.998328056259675</v>
      </c>
      <c r="W65" s="24">
        <f t="shared" ca="1" si="59"/>
        <v>-7.641951030929568</v>
      </c>
      <c r="X65" s="24">
        <f t="shared" ca="1" si="59"/>
        <v>-10.377300103971173</v>
      </c>
      <c r="Y65" s="24">
        <f t="shared" ca="1" si="59"/>
        <v>-7.1805676401289995</v>
      </c>
      <c r="Z65" s="24">
        <f t="shared" ca="1" si="59"/>
        <v>-9.663225031276589</v>
      </c>
      <c r="AA65" s="24">
        <f t="shared" ca="1" si="59"/>
        <v>-13.609425631851762</v>
      </c>
      <c r="AB65" s="24">
        <f t="shared" ca="1" si="59"/>
        <v>-10.235556337770941</v>
      </c>
      <c r="AC65" s="24">
        <f t="shared" ca="1" si="59"/>
        <v>-6.899003296307181</v>
      </c>
      <c r="AD65" s="114">
        <f ca="1">+AD110</f>
        <v>-10.267499115550727</v>
      </c>
      <c r="AE65" s="24">
        <f t="shared" ref="AE65:BA65" ca="1" si="63">+AE110</f>
        <v>-13.262198623797035</v>
      </c>
      <c r="AF65" s="24">
        <f t="shared" ca="1" si="63"/>
        <v>-10.949256026231222</v>
      </c>
      <c r="AG65" s="24">
        <f t="shared" ca="1" si="63"/>
        <v>-10.572337649127885</v>
      </c>
      <c r="AH65" s="24">
        <f t="shared" ca="1" si="63"/>
        <v>-9.8668739775504619</v>
      </c>
      <c r="AI65" s="24">
        <f t="shared" ca="1" si="63"/>
        <v>-11.081002565334728</v>
      </c>
      <c r="AJ65" s="24">
        <f t="shared" ca="1" si="63"/>
        <v>-10.295090817939075</v>
      </c>
      <c r="AK65" s="24">
        <f t="shared" ca="1" si="63"/>
        <v>-9.6220157044576755</v>
      </c>
      <c r="AL65" s="24">
        <f t="shared" ca="1" si="63"/>
        <v>-9.5087679810930936</v>
      </c>
      <c r="AM65" s="24">
        <f t="shared" ca="1" si="63"/>
        <v>-9.9211952968454771</v>
      </c>
      <c r="AN65" s="24">
        <f t="shared" ca="1" si="63"/>
        <v>-9.765919960986956</v>
      </c>
      <c r="AO65" s="24">
        <f t="shared" ca="1" si="63"/>
        <v>-8.8719139626301544</v>
      </c>
      <c r="AP65" s="24">
        <f t="shared" ca="1" si="63"/>
        <v>-9.2715998171311504</v>
      </c>
      <c r="AQ65" s="24">
        <f t="shared" ca="1" si="63"/>
        <v>-9.4192101926920646</v>
      </c>
      <c r="AR65" s="24">
        <f t="shared" ca="1" si="63"/>
        <v>-9.4156595242670669</v>
      </c>
      <c r="AS65" s="24">
        <f t="shared" ca="1" si="63"/>
        <v>-8.3762137677322652</v>
      </c>
      <c r="AT65" s="24">
        <f t="shared" ca="1" si="63"/>
        <v>-9.7346234180070823</v>
      </c>
      <c r="AU65" s="24">
        <f t="shared" ca="1" si="63"/>
        <v>-9.8594289951024958</v>
      </c>
      <c r="AV65" s="24">
        <f t="shared" ca="1" si="63"/>
        <v>-9.878142080534186</v>
      </c>
      <c r="AW65" s="24">
        <f t="shared" ca="1" si="63"/>
        <v>-8.7903552541111445</v>
      </c>
      <c r="AX65" s="24">
        <f t="shared" ca="1" si="63"/>
        <v>-10.222081245902842</v>
      </c>
      <c r="AY65" s="24">
        <f t="shared" ca="1" si="63"/>
        <v>-10.321289516211738</v>
      </c>
      <c r="AZ65" s="24">
        <f t="shared" ca="1" si="63"/>
        <v>-10.364564671008095</v>
      </c>
      <c r="BA65" s="24">
        <f t="shared" ca="1" si="63"/>
        <v>-9.2262548428544555</v>
      </c>
      <c r="BB65" s="8" t="s">
        <v>75</v>
      </c>
    </row>
    <row r="66" spans="2:54" x14ac:dyDescent="0.2">
      <c r="B66" s="1" t="s">
        <v>137</v>
      </c>
      <c r="C66" s="45" t="s">
        <v>164</v>
      </c>
      <c r="E66" s="11"/>
      <c r="F66" s="11"/>
      <c r="G66" s="11">
        <f t="shared" ca="1" si="61"/>
        <v>-1.4897516926857648</v>
      </c>
      <c r="H66" s="11">
        <f t="shared" ca="1" si="61"/>
        <v>-5.0749316154220363</v>
      </c>
      <c r="R66" s="25"/>
      <c r="S66" s="25"/>
      <c r="T66" s="25"/>
      <c r="U66" s="25"/>
      <c r="V66" s="23">
        <f t="shared" ca="1" si="59"/>
        <v>-0.6314721508039155</v>
      </c>
      <c r="W66" s="23">
        <f t="shared" ca="1" si="59"/>
        <v>-0.47978285868484899</v>
      </c>
      <c r="X66" s="23">
        <f t="shared" ca="1" si="59"/>
        <v>-0.40279131328658269</v>
      </c>
      <c r="Y66" s="23">
        <f t="shared" ca="1" si="59"/>
        <v>2.4294630089582651E-2</v>
      </c>
      <c r="Z66" s="23">
        <f t="shared" ca="1" si="59"/>
        <v>-0.46785513668338213</v>
      </c>
      <c r="AA66" s="23">
        <f t="shared" ca="1" si="59"/>
        <v>-0.46246124133967931</v>
      </c>
      <c r="AB66" s="23">
        <f t="shared" ca="1" si="59"/>
        <v>-0.79227092548088773</v>
      </c>
      <c r="AC66" s="23">
        <f t="shared" ca="1" si="59"/>
        <v>-3.3523443119180869</v>
      </c>
      <c r="BB66" s="8" t="s">
        <v>75</v>
      </c>
    </row>
    <row r="67" spans="2:54" x14ac:dyDescent="0.2">
      <c r="B67" s="1" t="s">
        <v>138</v>
      </c>
      <c r="C67" s="45" t="s">
        <v>164</v>
      </c>
      <c r="E67" s="11"/>
      <c r="F67" s="11"/>
      <c r="G67" s="11">
        <f t="shared" ca="1" si="61"/>
        <v>0.17720329141618374</v>
      </c>
      <c r="H67" s="11">
        <f t="shared" ca="1" si="61"/>
        <v>1.7932691867872386E-2</v>
      </c>
      <c r="R67" s="25"/>
      <c r="S67" s="25"/>
      <c r="T67" s="25"/>
      <c r="U67" s="25"/>
      <c r="V67" s="23">
        <f t="shared" ca="1" si="59"/>
        <v>7.0256950480531086E-2</v>
      </c>
      <c r="W67" s="23">
        <f t="shared" ca="1" si="59"/>
        <v>3.3182623676075919E-2</v>
      </c>
      <c r="X67" s="23">
        <f t="shared" ca="1" si="59"/>
        <v>2.5174457080411418E-2</v>
      </c>
      <c r="Y67" s="23">
        <f t="shared" ca="1" si="59"/>
        <v>4.8589260179165303E-2</v>
      </c>
      <c r="Z67" s="23">
        <f t="shared" ca="1" si="59"/>
        <v>4.4113319281062239E-3</v>
      </c>
      <c r="AA67" s="23">
        <f t="shared" ca="1" si="59"/>
        <v>5.547423442789268E-3</v>
      </c>
      <c r="AB67" s="23">
        <f t="shared" ca="1" si="59"/>
        <v>7.9739364969768946E-3</v>
      </c>
      <c r="AC67" s="23">
        <f t="shared" ca="1" si="59"/>
        <v>0</v>
      </c>
      <c r="BB67" s="8" t="s">
        <v>75</v>
      </c>
    </row>
    <row r="68" spans="2:54" x14ac:dyDescent="0.2">
      <c r="B68" s="1" t="s">
        <v>139</v>
      </c>
      <c r="C68" s="45" t="s">
        <v>164</v>
      </c>
      <c r="E68" s="11"/>
      <c r="F68" s="11"/>
      <c r="G68" s="11">
        <f t="shared" ca="1" si="61"/>
        <v>-1.7116902113132808</v>
      </c>
      <c r="H68" s="11">
        <f t="shared" ca="1" si="61"/>
        <v>-1.0820325187251754</v>
      </c>
      <c r="R68" s="25"/>
      <c r="S68" s="25"/>
      <c r="T68" s="25"/>
      <c r="U68" s="25"/>
      <c r="V68" s="23">
        <f t="shared" ca="1" si="59"/>
        <v>-1.1873907638607826</v>
      </c>
      <c r="W68" s="23">
        <f t="shared" ca="1" si="59"/>
        <v>0.28609870340256188</v>
      </c>
      <c r="X68" s="23">
        <f t="shared" ca="1" si="59"/>
        <v>0.13816809302571956</v>
      </c>
      <c r="Y68" s="23">
        <f t="shared" ca="1" si="59"/>
        <v>-0.9485662438807797</v>
      </c>
      <c r="Z68" s="23">
        <f t="shared" ca="1" si="59"/>
        <v>-0.51318773579229071</v>
      </c>
      <c r="AA68" s="23">
        <f t="shared" ca="1" si="59"/>
        <v>0.33798848658057684</v>
      </c>
      <c r="AB68" s="23">
        <f t="shared" ca="1" si="59"/>
        <v>-0.33800801209809822</v>
      </c>
      <c r="AC68" s="23">
        <f t="shared" ca="1" si="59"/>
        <v>-0.56882525741536327</v>
      </c>
      <c r="BB68" s="8" t="s">
        <v>75</v>
      </c>
    </row>
    <row r="69" spans="2:54" x14ac:dyDescent="0.2">
      <c r="B69" s="1" t="s">
        <v>14</v>
      </c>
      <c r="C69" s="45" t="s">
        <v>164</v>
      </c>
      <c r="E69" s="11"/>
      <c r="F69" s="11"/>
      <c r="G69" s="11">
        <f t="shared" ca="1" si="61"/>
        <v>-0.17996981696812814</v>
      </c>
      <c r="H69" s="11">
        <f t="shared" ca="1" si="61"/>
        <v>0</v>
      </c>
      <c r="R69" s="25"/>
      <c r="S69" s="25"/>
      <c r="T69" s="25"/>
      <c r="U69" s="25"/>
      <c r="V69" s="23">
        <f t="shared" ca="1" si="59"/>
        <v>0</v>
      </c>
      <c r="W69" s="23">
        <f t="shared" ca="1" si="59"/>
        <v>0</v>
      </c>
      <c r="X69" s="23">
        <f t="shared" ca="1" si="59"/>
        <v>0</v>
      </c>
      <c r="Y69" s="23">
        <f t="shared" ca="1" si="59"/>
        <v>-0.17996981696812814</v>
      </c>
      <c r="Z69" s="23">
        <f t="shared" ca="1" si="59"/>
        <v>0</v>
      </c>
      <c r="AA69" s="23">
        <f t="shared" ca="1" si="59"/>
        <v>0</v>
      </c>
      <c r="AB69" s="23">
        <f t="shared" ca="1" si="59"/>
        <v>0</v>
      </c>
      <c r="AC69" s="23">
        <f t="shared" ca="1" si="59"/>
        <v>0</v>
      </c>
      <c r="BB69" s="8" t="s">
        <v>75</v>
      </c>
    </row>
    <row r="70" spans="2:54" s="2" customFormat="1" x14ac:dyDescent="0.2">
      <c r="B70" s="18" t="s">
        <v>140</v>
      </c>
      <c r="C70" s="45" t="s">
        <v>164</v>
      </c>
      <c r="D70" s="18"/>
      <c r="E70" s="11"/>
      <c r="F70" s="11"/>
      <c r="G70" s="13">
        <f t="shared" ca="1" si="61"/>
        <v>52.496497243295678</v>
      </c>
      <c r="H70" s="13">
        <f t="shared" ca="1" si="61"/>
        <v>19.364549074184325</v>
      </c>
      <c r="I70" s="13">
        <f t="shared" ref="I70:N70" ca="1" si="64">+SUMIFS(70:70,$6:$6,I$3)</f>
        <v>50.714909251494731</v>
      </c>
      <c r="J70" s="13">
        <f t="shared" ca="1" si="64"/>
        <v>56.49818219165676</v>
      </c>
      <c r="K70" s="13">
        <f t="shared" ca="1" si="64"/>
        <v>61.243963486727182</v>
      </c>
      <c r="L70" s="13">
        <f t="shared" ca="1" si="64"/>
        <v>64.841675633539268</v>
      </c>
      <c r="M70" s="13">
        <f t="shared" ca="1" si="64"/>
        <v>65.141061471100528</v>
      </c>
      <c r="N70" s="13">
        <f t="shared" ca="1" si="64"/>
        <v>65.41809565135334</v>
      </c>
      <c r="O70" s="1"/>
      <c r="P70" s="97">
        <f t="shared" ref="P70" ca="1" si="65">+(N70/I70)^(1/5)-1</f>
        <v>5.2234286514646344E-2</v>
      </c>
      <c r="R70" s="25"/>
      <c r="S70" s="25"/>
      <c r="T70" s="25"/>
      <c r="U70" s="25"/>
      <c r="V70" s="24">
        <f t="shared" ref="V70:BA70" ca="1" si="66">+SUM(V65:V69,V62)</f>
        <v>12.164669459354231</v>
      </c>
      <c r="W70" s="24">
        <f t="shared" ca="1" si="66"/>
        <v>17.69538816070488</v>
      </c>
      <c r="X70" s="24">
        <f t="shared" ca="1" si="66"/>
        <v>11.461249992369188</v>
      </c>
      <c r="Y70" s="24">
        <f t="shared" ca="1" si="66"/>
        <v>11.175189630867377</v>
      </c>
      <c r="Z70" s="24">
        <f t="shared" ca="1" si="66"/>
        <v>-9.2649316845877898</v>
      </c>
      <c r="AA70" s="24">
        <f t="shared" ca="1" si="66"/>
        <v>3.7374622680775893</v>
      </c>
      <c r="AB70" s="24">
        <f t="shared" ca="1" si="66"/>
        <v>7.2185415707002374</v>
      </c>
      <c r="AC70" s="24">
        <f t="shared" ca="1" si="66"/>
        <v>17.673476919994286</v>
      </c>
      <c r="AD70" s="24">
        <f t="shared" ca="1" si="66"/>
        <v>12.971780610903643</v>
      </c>
      <c r="AE70" s="24">
        <f t="shared" ca="1" si="66"/>
        <v>13.526987114425301</v>
      </c>
      <c r="AF70" s="24">
        <f t="shared" ca="1" si="66"/>
        <v>14.587296998862119</v>
      </c>
      <c r="AG70" s="24">
        <f t="shared" ca="1" si="66"/>
        <v>9.6288445273036665</v>
      </c>
      <c r="AH70" s="24">
        <f t="shared" ca="1" si="66"/>
        <v>13.011578304271968</v>
      </c>
      <c r="AI70" s="24">
        <f t="shared" ca="1" si="66"/>
        <v>16.488467605157155</v>
      </c>
      <c r="AJ70" s="24">
        <f t="shared" ca="1" si="66"/>
        <v>15.92991110686407</v>
      </c>
      <c r="AK70" s="24">
        <f t="shared" ca="1" si="66"/>
        <v>11.068225175363564</v>
      </c>
      <c r="AL70" s="24">
        <f t="shared" ca="1" si="66"/>
        <v>13.814500202004659</v>
      </c>
      <c r="AM70" s="24">
        <f t="shared" ca="1" si="66"/>
        <v>18.239798039330275</v>
      </c>
      <c r="AN70" s="24">
        <f t="shared" ca="1" si="66"/>
        <v>16.988000384489162</v>
      </c>
      <c r="AO70" s="24">
        <f t="shared" ca="1" si="66"/>
        <v>12.201664860903085</v>
      </c>
      <c r="AP70" s="24">
        <f t="shared" ca="1" si="66"/>
        <v>14.510807630239967</v>
      </c>
      <c r="AQ70" s="24">
        <f t="shared" ca="1" si="66"/>
        <v>19.353608171180625</v>
      </c>
      <c r="AR70" s="24">
        <f t="shared" ca="1" si="66"/>
        <v>17.884641027271318</v>
      </c>
      <c r="AS70" s="24">
        <f t="shared" ca="1" si="66"/>
        <v>13.092618804847357</v>
      </c>
      <c r="AT70" s="24">
        <f t="shared" ca="1" si="66"/>
        <v>14.521836142260177</v>
      </c>
      <c r="AU70" s="24">
        <f t="shared" ca="1" si="66"/>
        <v>19.546368911239007</v>
      </c>
      <c r="AV70" s="24">
        <f t="shared" ca="1" si="66"/>
        <v>17.986724983241071</v>
      </c>
      <c r="AW70" s="24">
        <f t="shared" ca="1" si="66"/>
        <v>13.086131434360272</v>
      </c>
      <c r="AX70" s="24">
        <f t="shared" ca="1" si="66"/>
        <v>14.523958772483319</v>
      </c>
      <c r="AY70" s="24">
        <f t="shared" ca="1" si="66"/>
        <v>19.739532906103602</v>
      </c>
      <c r="AZ70" s="24">
        <f t="shared" ca="1" si="66"/>
        <v>18.083811764042288</v>
      </c>
      <c r="BA70" s="24">
        <f t="shared" ca="1" si="66"/>
        <v>13.070792208724132</v>
      </c>
      <c r="BB70" s="8" t="s">
        <v>75</v>
      </c>
    </row>
    <row r="71" spans="2:54" s="25" customFormat="1" x14ac:dyDescent="0.2">
      <c r="B71" s="26" t="s">
        <v>141</v>
      </c>
      <c r="C71" s="45" t="s">
        <v>177</v>
      </c>
      <c r="D71" s="26"/>
      <c r="E71" s="11"/>
      <c r="F71" s="11"/>
      <c r="G71" s="30">
        <f ca="1">+G70/G63</f>
        <v>0.54617403572984913</v>
      </c>
      <c r="H71" s="30">
        <f ca="1">+H70/H63</f>
        <v>0.20740711851388968</v>
      </c>
      <c r="I71" s="30">
        <f t="shared" ref="I71:N71" ca="1" si="67">+I70/I63</f>
        <v>0.5295700246923688</v>
      </c>
      <c r="J71" s="30">
        <f t="shared" ca="1" si="67"/>
        <v>0.58028292365556966</v>
      </c>
      <c r="K71" s="30">
        <f t="shared" ca="1" si="67"/>
        <v>0.61668389586766181</v>
      </c>
      <c r="L71" s="30">
        <f t="shared" ca="1" si="67"/>
        <v>0.63994163214892819</v>
      </c>
      <c r="M71" s="30">
        <f t="shared" ca="1" si="67"/>
        <v>0.62996892181287956</v>
      </c>
      <c r="N71" s="30">
        <f t="shared" ca="1" si="67"/>
        <v>0.61976957748117079</v>
      </c>
      <c r="O71" s="1"/>
      <c r="P71" s="97"/>
      <c r="V71" s="30">
        <f t="shared" ref="V71:BA71" ca="1" si="68">+V70/V63</f>
        <v>0.49122981219577566</v>
      </c>
      <c r="W71" s="30">
        <f t="shared" ca="1" si="68"/>
        <v>0.67624579052032574</v>
      </c>
      <c r="X71" s="30">
        <f t="shared" ca="1" si="68"/>
        <v>0.43483569811646922</v>
      </c>
      <c r="Y71" s="30">
        <f t="shared" ca="1" si="68"/>
        <v>0.59353031803858813</v>
      </c>
      <c r="Z71" s="30">
        <f t="shared" ca="1" si="68"/>
        <v>-0.45204357270247125</v>
      </c>
      <c r="AA71" s="30">
        <f t="shared" ca="1" si="68"/>
        <v>0.15385426544323305</v>
      </c>
      <c r="AB71" s="30">
        <f t="shared" ca="1" si="68"/>
        <v>0.29450058565451914</v>
      </c>
      <c r="AC71" s="30">
        <f t="shared" ca="1" si="68"/>
        <v>0.73437816092591046</v>
      </c>
      <c r="AD71" s="30">
        <f t="shared" ca="1" si="68"/>
        <v>0.55818341891798184</v>
      </c>
      <c r="AE71" s="30">
        <f t="shared" ca="1" si="68"/>
        <v>0.50494207799400326</v>
      </c>
      <c r="AF71" s="30">
        <f t="shared" ca="1" si="68"/>
        <v>0.57123202902631376</v>
      </c>
      <c r="AG71" s="30">
        <f t="shared" ca="1" si="68"/>
        <v>0.47664757652339329</v>
      </c>
      <c r="AH71" s="30">
        <f t="shared" ca="1" si="68"/>
        <v>0.56872633445620058</v>
      </c>
      <c r="AI71" s="30">
        <f t="shared" ca="1" si="68"/>
        <v>0.59806980341628291</v>
      </c>
      <c r="AJ71" s="30">
        <f t="shared" ca="1" si="68"/>
        <v>0.60743221878652531</v>
      </c>
      <c r="AK71" s="30">
        <f t="shared" ca="1" si="68"/>
        <v>0.5349490728335683</v>
      </c>
      <c r="AL71" s="30">
        <f t="shared" ca="1" si="68"/>
        <v>0.59230550768249335</v>
      </c>
      <c r="AM71" s="30">
        <f t="shared" ca="1" si="68"/>
        <v>0.64769725348783558</v>
      </c>
      <c r="AN71" s="30">
        <f t="shared" ca="1" si="68"/>
        <v>0.634972376575895</v>
      </c>
      <c r="AO71" s="30">
        <f t="shared" ca="1" si="68"/>
        <v>0.57900297633723563</v>
      </c>
      <c r="AP71" s="30">
        <f t="shared" ca="1" si="68"/>
        <v>0.61014881114754327</v>
      </c>
      <c r="AQ71" s="30">
        <f t="shared" ca="1" si="68"/>
        <v>0.6726351213296895</v>
      </c>
      <c r="AR71" s="30">
        <f t="shared" ca="1" si="68"/>
        <v>0.65510784372165121</v>
      </c>
      <c r="AS71" s="30">
        <f t="shared" ca="1" si="68"/>
        <v>0.60984307183845121</v>
      </c>
      <c r="AT71" s="30">
        <f t="shared" ca="1" si="68"/>
        <v>0.59867913147751128</v>
      </c>
      <c r="AU71" s="30">
        <f t="shared" ca="1" si="68"/>
        <v>0.66471139376985711</v>
      </c>
      <c r="AV71" s="30">
        <f t="shared" ca="1" si="68"/>
        <v>0.64549832382384065</v>
      </c>
      <c r="AW71" s="30">
        <f t="shared" ca="1" si="68"/>
        <v>0.59818249706688364</v>
      </c>
      <c r="AX71" s="30">
        <f t="shared" ca="1" si="68"/>
        <v>0.58692052391785121</v>
      </c>
      <c r="AY71" s="30">
        <f t="shared" ca="1" si="68"/>
        <v>0.65665312241923779</v>
      </c>
      <c r="AZ71" s="30">
        <f t="shared" ca="1" si="68"/>
        <v>0.63567113593736657</v>
      </c>
      <c r="BA71" s="30">
        <f t="shared" ca="1" si="68"/>
        <v>0.58621180546859664</v>
      </c>
      <c r="BB71" s="8" t="s">
        <v>75</v>
      </c>
    </row>
    <row r="72" spans="2:54" x14ac:dyDescent="0.2">
      <c r="B72" s="1" t="s">
        <v>135</v>
      </c>
      <c r="C72" s="45" t="s">
        <v>164</v>
      </c>
      <c r="E72" s="11"/>
      <c r="F72" s="11"/>
      <c r="G72" s="11">
        <f t="shared" ref="G72:H75" ca="1" si="69">+SUMIFS(72:72,$6:$6,G$3)</f>
        <v>5.2179414279389222</v>
      </c>
      <c r="H72" s="11">
        <f t="shared" ca="1" si="69"/>
        <v>27.454129411512557</v>
      </c>
      <c r="R72" s="25"/>
      <c r="S72" s="25"/>
      <c r="T72" s="25"/>
      <c r="U72" s="25"/>
      <c r="V72" s="23">
        <f t="shared" ref="V72:AC74" ca="1" si="70">+V50/V$9</f>
        <v>0.85210010117697532</v>
      </c>
      <c r="W72" s="23">
        <f t="shared" ca="1" si="70"/>
        <v>0.66925474524198914</v>
      </c>
      <c r="X72" s="23">
        <f t="shared" ca="1" si="70"/>
        <v>4.2796577036699412</v>
      </c>
      <c r="Y72" s="23">
        <f t="shared" ca="1" si="70"/>
        <v>-0.58307112214998358</v>
      </c>
      <c r="Z72" s="23">
        <f t="shared" ca="1" si="70"/>
        <v>19.120735805822171</v>
      </c>
      <c r="AA72" s="23">
        <f t="shared" ca="1" si="70"/>
        <v>6.8264106944964835</v>
      </c>
      <c r="AB72" s="23">
        <f t="shared" ca="1" si="70"/>
        <v>5.9347251571609574</v>
      </c>
      <c r="AC72" s="23">
        <f t="shared" ca="1" si="70"/>
        <v>-4.4277422459670559</v>
      </c>
      <c r="BB72" s="8" t="s">
        <v>75</v>
      </c>
    </row>
    <row r="73" spans="2:54" x14ac:dyDescent="0.2">
      <c r="B73" s="22" t="s">
        <v>139</v>
      </c>
      <c r="C73" s="45" t="s">
        <v>164</v>
      </c>
      <c r="E73" s="11"/>
      <c r="F73" s="11"/>
      <c r="G73" s="11">
        <f t="shared" ca="1" si="69"/>
        <v>1.7116902113132808</v>
      </c>
      <c r="H73" s="11">
        <f t="shared" ca="1" si="69"/>
        <v>1.0820325187251754</v>
      </c>
      <c r="R73" s="25"/>
      <c r="S73" s="25"/>
      <c r="T73" s="25"/>
      <c r="U73" s="25"/>
      <c r="V73" s="23">
        <f t="shared" ca="1" si="70"/>
        <v>1.1873907638607826</v>
      </c>
      <c r="W73" s="23">
        <f t="shared" ca="1" si="70"/>
        <v>-0.28609870340256188</v>
      </c>
      <c r="X73" s="23">
        <f t="shared" ca="1" si="70"/>
        <v>-0.13816809302571956</v>
      </c>
      <c r="Y73" s="23">
        <f t="shared" ca="1" si="70"/>
        <v>0.9485662438807797</v>
      </c>
      <c r="Z73" s="23">
        <f t="shared" ca="1" si="70"/>
        <v>0.51318773579229071</v>
      </c>
      <c r="AA73" s="23">
        <f t="shared" ca="1" si="70"/>
        <v>-0.33798848658057684</v>
      </c>
      <c r="AB73" s="23">
        <f t="shared" ca="1" si="70"/>
        <v>0.33800801209809822</v>
      </c>
      <c r="AC73" s="23">
        <f t="shared" ca="1" si="70"/>
        <v>0.56882525741536327</v>
      </c>
      <c r="BB73" s="8" t="s">
        <v>75</v>
      </c>
    </row>
    <row r="74" spans="2:54" x14ac:dyDescent="0.2">
      <c r="B74" s="22" t="s">
        <v>142</v>
      </c>
      <c r="C74" s="45" t="s">
        <v>164</v>
      </c>
      <c r="E74" s="11"/>
      <c r="F74" s="11"/>
      <c r="G74" s="11">
        <f t="shared" ca="1" si="69"/>
        <v>0</v>
      </c>
      <c r="H74" s="11">
        <f t="shared" ca="1" si="69"/>
        <v>0.66004144801649811</v>
      </c>
      <c r="R74" s="25"/>
      <c r="S74" s="25"/>
      <c r="T74" s="25"/>
      <c r="U74" s="25"/>
      <c r="V74" s="23">
        <f t="shared" ca="1" si="70"/>
        <v>0</v>
      </c>
      <c r="W74" s="23">
        <f t="shared" ca="1" si="70"/>
        <v>0</v>
      </c>
      <c r="X74" s="23">
        <f t="shared" ca="1" si="70"/>
        <v>0</v>
      </c>
      <c r="Y74" s="23">
        <f t="shared" ca="1" si="70"/>
        <v>0</v>
      </c>
      <c r="Z74" s="23">
        <f t="shared" ca="1" si="70"/>
        <v>0.22990416807103228</v>
      </c>
      <c r="AA74" s="23">
        <f t="shared" ca="1" si="70"/>
        <v>6.3028417235955411E-2</v>
      </c>
      <c r="AB74" s="23">
        <f t="shared" ca="1" si="70"/>
        <v>0.30263943570549218</v>
      </c>
      <c r="AC74" s="23">
        <f t="shared" ca="1" si="70"/>
        <v>6.4469427004018295E-2</v>
      </c>
      <c r="BB74" s="8" t="s">
        <v>75</v>
      </c>
    </row>
    <row r="75" spans="2:54" s="2" customFormat="1" x14ac:dyDescent="0.2">
      <c r="B75" s="18" t="s">
        <v>4</v>
      </c>
      <c r="C75" s="45" t="s">
        <v>164</v>
      </c>
      <c r="D75" s="18"/>
      <c r="E75" s="11"/>
      <c r="F75" s="11"/>
      <c r="G75" s="13">
        <f t="shared" ca="1" si="69"/>
        <v>59.426128882547886</v>
      </c>
      <c r="H75" s="13">
        <f t="shared" ca="1" si="69"/>
        <v>48.560752452438564</v>
      </c>
      <c r="I75" s="13">
        <f t="shared" ref="I75:N75" ca="1" si="71">+SUMIFS(75:75,$6:$6,I$3)</f>
        <v>50.714909251494731</v>
      </c>
      <c r="J75" s="13">
        <f t="shared" ca="1" si="71"/>
        <v>56.49818219165676</v>
      </c>
      <c r="K75" s="13">
        <f t="shared" ca="1" si="71"/>
        <v>61.243963486727182</v>
      </c>
      <c r="L75" s="13">
        <f t="shared" ca="1" si="71"/>
        <v>64.841675633539268</v>
      </c>
      <c r="M75" s="13">
        <f t="shared" ca="1" si="71"/>
        <v>65.141061471100528</v>
      </c>
      <c r="N75" s="13">
        <f t="shared" ca="1" si="71"/>
        <v>65.41809565135334</v>
      </c>
      <c r="P75" s="97">
        <f t="shared" ref="P75" ca="1" si="72">+(N75/I75)^(1/5)-1</f>
        <v>5.2234286514646344E-2</v>
      </c>
      <c r="R75" s="25"/>
      <c r="S75" s="25"/>
      <c r="T75" s="25"/>
      <c r="U75" s="25"/>
      <c r="V75" s="24">
        <f t="shared" ref="V75:AC75" ca="1" si="73">+V70+V72+V73+V74</f>
        <v>14.204160324391989</v>
      </c>
      <c r="W75" s="24">
        <f t="shared" ca="1" si="73"/>
        <v>18.078544202544307</v>
      </c>
      <c r="X75" s="24">
        <f t="shared" ca="1" si="73"/>
        <v>15.602739603013411</v>
      </c>
      <c r="Y75" s="24">
        <f t="shared" ca="1" si="73"/>
        <v>11.540684752598175</v>
      </c>
      <c r="Z75" s="24">
        <f t="shared" ca="1" si="73"/>
        <v>10.598896025097705</v>
      </c>
      <c r="AA75" s="24">
        <f t="shared" ca="1" si="73"/>
        <v>10.288912893229453</v>
      </c>
      <c r="AB75" s="24">
        <f t="shared" ca="1" si="73"/>
        <v>13.793914175664785</v>
      </c>
      <c r="AC75" s="24">
        <f t="shared" ca="1" si="73"/>
        <v>13.879029358446612</v>
      </c>
      <c r="AD75" s="24">
        <f t="shared" ref="AD75:BA75" ca="1" si="74">+AD70+AD72+AD73+AD74</f>
        <v>12.971780610903643</v>
      </c>
      <c r="AE75" s="24">
        <f t="shared" ca="1" si="74"/>
        <v>13.526987114425301</v>
      </c>
      <c r="AF75" s="24">
        <f t="shared" ca="1" si="74"/>
        <v>14.587296998862119</v>
      </c>
      <c r="AG75" s="24">
        <f t="shared" ca="1" si="74"/>
        <v>9.6288445273036665</v>
      </c>
      <c r="AH75" s="24">
        <f t="shared" ca="1" si="74"/>
        <v>13.011578304271968</v>
      </c>
      <c r="AI75" s="24">
        <f t="shared" ca="1" si="74"/>
        <v>16.488467605157155</v>
      </c>
      <c r="AJ75" s="24">
        <f t="shared" ca="1" si="74"/>
        <v>15.92991110686407</v>
      </c>
      <c r="AK75" s="24">
        <f t="shared" ca="1" si="74"/>
        <v>11.068225175363564</v>
      </c>
      <c r="AL75" s="24">
        <f t="shared" ca="1" si="74"/>
        <v>13.814500202004659</v>
      </c>
      <c r="AM75" s="24">
        <f t="shared" ca="1" si="74"/>
        <v>18.239798039330275</v>
      </c>
      <c r="AN75" s="24">
        <f t="shared" ca="1" si="74"/>
        <v>16.988000384489162</v>
      </c>
      <c r="AO75" s="24">
        <f t="shared" ca="1" si="74"/>
        <v>12.201664860903085</v>
      </c>
      <c r="AP75" s="24">
        <f t="shared" ca="1" si="74"/>
        <v>14.510807630239967</v>
      </c>
      <c r="AQ75" s="24">
        <f t="shared" ca="1" si="74"/>
        <v>19.353608171180625</v>
      </c>
      <c r="AR75" s="24">
        <f t="shared" ca="1" si="74"/>
        <v>17.884641027271318</v>
      </c>
      <c r="AS75" s="24">
        <f t="shared" ca="1" si="74"/>
        <v>13.092618804847357</v>
      </c>
      <c r="AT75" s="24">
        <f t="shared" ca="1" si="74"/>
        <v>14.521836142260177</v>
      </c>
      <c r="AU75" s="24">
        <f t="shared" ca="1" si="74"/>
        <v>19.546368911239007</v>
      </c>
      <c r="AV75" s="24">
        <f t="shared" ca="1" si="74"/>
        <v>17.986724983241071</v>
      </c>
      <c r="AW75" s="24">
        <f t="shared" ca="1" si="74"/>
        <v>13.086131434360272</v>
      </c>
      <c r="AX75" s="24">
        <f t="shared" ca="1" si="74"/>
        <v>14.523958772483319</v>
      </c>
      <c r="AY75" s="24">
        <f t="shared" ca="1" si="74"/>
        <v>19.739532906103602</v>
      </c>
      <c r="AZ75" s="24">
        <f t="shared" ca="1" si="74"/>
        <v>18.083811764042288</v>
      </c>
      <c r="BA75" s="24">
        <f t="shared" ca="1" si="74"/>
        <v>13.070792208724132</v>
      </c>
      <c r="BB75" s="8" t="s">
        <v>75</v>
      </c>
    </row>
    <row r="76" spans="2:54" s="25" customFormat="1" x14ac:dyDescent="0.2">
      <c r="B76" s="26" t="s">
        <v>141</v>
      </c>
      <c r="C76" s="45" t="s">
        <v>177</v>
      </c>
      <c r="D76" s="26"/>
      <c r="E76" s="11"/>
      <c r="F76" s="11"/>
      <c r="G76" s="30">
        <f ca="1">+G75/G63</f>
        <v>0.61826998645568509</v>
      </c>
      <c r="H76" s="30">
        <f ca="1">+H75/H63</f>
        <v>0.52011775231336399</v>
      </c>
      <c r="I76" s="30">
        <f t="shared" ref="I76:N76" ca="1" si="75">+I75/I63</f>
        <v>0.5295700246923688</v>
      </c>
      <c r="J76" s="30">
        <f t="shared" ca="1" si="75"/>
        <v>0.58028292365556966</v>
      </c>
      <c r="K76" s="30">
        <f t="shared" ca="1" si="75"/>
        <v>0.61668389586766181</v>
      </c>
      <c r="L76" s="30">
        <f t="shared" ca="1" si="75"/>
        <v>0.63994163214892819</v>
      </c>
      <c r="M76" s="30">
        <f t="shared" ca="1" si="75"/>
        <v>0.62996892181287956</v>
      </c>
      <c r="N76" s="30">
        <f t="shared" ca="1" si="75"/>
        <v>0.61976957748117079</v>
      </c>
      <c r="V76" s="30">
        <f t="shared" ref="V76:AC76" ca="1" si="76">+V75/V63</f>
        <v>0.57358788349027356</v>
      </c>
      <c r="W76" s="30">
        <f t="shared" ca="1" si="76"/>
        <v>0.69088845662367393</v>
      </c>
      <c r="X76" s="30">
        <f t="shared" ca="1" si="76"/>
        <v>0.59196232281147099</v>
      </c>
      <c r="Y76" s="30">
        <f t="shared" ca="1" si="76"/>
        <v>0.61294228714229226</v>
      </c>
      <c r="Z76" s="30">
        <f t="shared" ca="1" si="76"/>
        <v>0.51712878076125324</v>
      </c>
      <c r="AA76" s="30">
        <f t="shared" ca="1" si="76"/>
        <v>0.42354758974234663</v>
      </c>
      <c r="AB76" s="30">
        <f t="shared" ca="1" si="76"/>
        <v>0.56276129511953288</v>
      </c>
      <c r="AC76" s="30">
        <f t="shared" ca="1" si="76"/>
        <v>0.57670916152111829</v>
      </c>
      <c r="AD76" s="30">
        <f t="shared" ref="AD76:BA76" ca="1" si="77">+AD75/AD63</f>
        <v>0.55818341891798184</v>
      </c>
      <c r="AE76" s="30">
        <f t="shared" ca="1" si="77"/>
        <v>0.50494207799400326</v>
      </c>
      <c r="AF76" s="30">
        <f t="shared" ca="1" si="77"/>
        <v>0.57123202902631376</v>
      </c>
      <c r="AG76" s="30">
        <f t="shared" ca="1" si="77"/>
        <v>0.47664757652339329</v>
      </c>
      <c r="AH76" s="30">
        <f t="shared" ca="1" si="77"/>
        <v>0.56872633445620058</v>
      </c>
      <c r="AI76" s="30">
        <f t="shared" ca="1" si="77"/>
        <v>0.59806980341628291</v>
      </c>
      <c r="AJ76" s="30">
        <f t="shared" ca="1" si="77"/>
        <v>0.60743221878652531</v>
      </c>
      <c r="AK76" s="30">
        <f t="shared" ca="1" si="77"/>
        <v>0.5349490728335683</v>
      </c>
      <c r="AL76" s="30">
        <f t="shared" ca="1" si="77"/>
        <v>0.59230550768249335</v>
      </c>
      <c r="AM76" s="30">
        <f t="shared" ca="1" si="77"/>
        <v>0.64769725348783558</v>
      </c>
      <c r="AN76" s="30">
        <f t="shared" ca="1" si="77"/>
        <v>0.634972376575895</v>
      </c>
      <c r="AO76" s="30">
        <f t="shared" ca="1" si="77"/>
        <v>0.57900297633723563</v>
      </c>
      <c r="AP76" s="30">
        <f t="shared" ca="1" si="77"/>
        <v>0.61014881114754327</v>
      </c>
      <c r="AQ76" s="30">
        <f t="shared" ca="1" si="77"/>
        <v>0.6726351213296895</v>
      </c>
      <c r="AR76" s="30">
        <f t="shared" ca="1" si="77"/>
        <v>0.65510784372165121</v>
      </c>
      <c r="AS76" s="30">
        <f t="shared" ca="1" si="77"/>
        <v>0.60984307183845121</v>
      </c>
      <c r="AT76" s="30">
        <f t="shared" ca="1" si="77"/>
        <v>0.59867913147751128</v>
      </c>
      <c r="AU76" s="30">
        <f t="shared" ca="1" si="77"/>
        <v>0.66471139376985711</v>
      </c>
      <c r="AV76" s="30">
        <f t="shared" ca="1" si="77"/>
        <v>0.64549832382384065</v>
      </c>
      <c r="AW76" s="30">
        <f t="shared" ca="1" si="77"/>
        <v>0.59818249706688364</v>
      </c>
      <c r="AX76" s="30">
        <f t="shared" ca="1" si="77"/>
        <v>0.58692052391785121</v>
      </c>
      <c r="AY76" s="30">
        <f t="shared" ca="1" si="77"/>
        <v>0.65665312241923779</v>
      </c>
      <c r="AZ76" s="30">
        <f t="shared" ca="1" si="77"/>
        <v>0.63567113593736657</v>
      </c>
      <c r="BA76" s="30">
        <f t="shared" ca="1" si="77"/>
        <v>0.58621180546859664</v>
      </c>
      <c r="BB76" s="8" t="s">
        <v>75</v>
      </c>
    </row>
    <row r="77" spans="2:54" x14ac:dyDescent="0.2">
      <c r="B77" s="22" t="s">
        <v>143</v>
      </c>
      <c r="C77" s="45" t="s">
        <v>164</v>
      </c>
      <c r="E77" s="11"/>
      <c r="F77" s="11"/>
      <c r="G77" s="11">
        <f ca="1">+SUMIFS(77:77,$6:$6,G$3)</f>
        <v>4.0147315869054436</v>
      </c>
      <c r="H77" s="11">
        <f ca="1">+SUMIFS(77:77,$6:$6,H$3)</f>
        <v>3.1661122836524389</v>
      </c>
      <c r="I77" s="11"/>
      <c r="J77" s="11"/>
      <c r="K77" s="11"/>
      <c r="L77" s="11"/>
      <c r="M77" s="11"/>
      <c r="N77" s="11"/>
      <c r="R77" s="25"/>
      <c r="S77" s="25"/>
      <c r="T77" s="25"/>
      <c r="U77" s="25"/>
      <c r="V77" s="23">
        <f ca="1">+V55/V$9</f>
        <v>0.27079000281950055</v>
      </c>
      <c r="W77" s="23">
        <f t="shared" ref="W77:AC77" ca="1" si="78">+W55/W$9</f>
        <v>1.7150953560874269</v>
      </c>
      <c r="X77" s="23">
        <f t="shared" ca="1" si="78"/>
        <v>1.3694497101995899</v>
      </c>
      <c r="Y77" s="23">
        <f t="shared" ca="1" si="78"/>
        <v>0.65939651779892627</v>
      </c>
      <c r="Z77" s="23">
        <f t="shared" ca="1" si="78"/>
        <v>0.2611122913675008</v>
      </c>
      <c r="AA77" s="23">
        <f t="shared" ca="1" si="78"/>
        <v>1.8776457008967007</v>
      </c>
      <c r="AB77" s="23">
        <f t="shared" ca="1" si="78"/>
        <v>0.72667331044865457</v>
      </c>
      <c r="AC77" s="23">
        <f t="shared" ca="1" si="78"/>
        <v>0.30068098093958268</v>
      </c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8" t="s">
        <v>75</v>
      </c>
    </row>
    <row r="78" spans="2:54" x14ac:dyDescent="0.2">
      <c r="B78" s="18" t="s">
        <v>144</v>
      </c>
      <c r="C78" s="45" t="s">
        <v>164</v>
      </c>
      <c r="E78" s="11"/>
      <c r="F78" s="11"/>
      <c r="G78" s="13">
        <f ca="1">+SUMIFS(78:78,$6:$6,G$3)</f>
        <v>63.440860469453327</v>
      </c>
      <c r="H78" s="13">
        <f ca="1">+SUMIFS(78:78,$6:$6,H$3)</f>
        <v>51.726864736090988</v>
      </c>
      <c r="I78" s="13">
        <f t="shared" ref="I78:N78" ca="1" si="79">+SUMIFS(78:78,$6:$6,I$3)</f>
        <v>50.714909251494731</v>
      </c>
      <c r="J78" s="13">
        <f t="shared" ca="1" si="79"/>
        <v>56.49818219165676</v>
      </c>
      <c r="K78" s="13">
        <f t="shared" ca="1" si="79"/>
        <v>61.243963486727182</v>
      </c>
      <c r="L78" s="13">
        <f t="shared" ca="1" si="79"/>
        <v>64.841675633539268</v>
      </c>
      <c r="M78" s="13">
        <f t="shared" ca="1" si="79"/>
        <v>65.141061471100528</v>
      </c>
      <c r="N78" s="13">
        <f t="shared" ca="1" si="79"/>
        <v>65.41809565135334</v>
      </c>
      <c r="P78" s="97">
        <f ca="1">+(N78/I78)^(1/5)-1</f>
        <v>5.2234286514646344E-2</v>
      </c>
      <c r="R78" s="25"/>
      <c r="S78" s="25"/>
      <c r="T78" s="25"/>
      <c r="U78" s="25"/>
      <c r="V78" s="24">
        <f t="shared" ref="V78:BA78" ca="1" si="80">+V75+V77</f>
        <v>14.47495032721149</v>
      </c>
      <c r="W78" s="24">
        <f t="shared" ca="1" si="80"/>
        <v>19.793639558631735</v>
      </c>
      <c r="X78" s="24">
        <f t="shared" ca="1" si="80"/>
        <v>16.972189313213001</v>
      </c>
      <c r="Y78" s="24">
        <f t="shared" ca="1" si="80"/>
        <v>12.200081270397101</v>
      </c>
      <c r="Z78" s="24">
        <f t="shared" ca="1" si="80"/>
        <v>10.860008316465207</v>
      </c>
      <c r="AA78" s="24">
        <f t="shared" ca="1" si="80"/>
        <v>12.166558594126153</v>
      </c>
      <c r="AB78" s="24">
        <f t="shared" ca="1" si="80"/>
        <v>14.52058748611344</v>
      </c>
      <c r="AC78" s="24">
        <f t="shared" ca="1" si="80"/>
        <v>14.179710339386194</v>
      </c>
      <c r="AD78" s="24">
        <f t="shared" ca="1" si="80"/>
        <v>12.971780610903643</v>
      </c>
      <c r="AE78" s="24">
        <f t="shared" ca="1" si="80"/>
        <v>13.526987114425301</v>
      </c>
      <c r="AF78" s="24">
        <f t="shared" ca="1" si="80"/>
        <v>14.587296998862119</v>
      </c>
      <c r="AG78" s="24">
        <f t="shared" ca="1" si="80"/>
        <v>9.6288445273036665</v>
      </c>
      <c r="AH78" s="24">
        <f t="shared" ca="1" si="80"/>
        <v>13.011578304271968</v>
      </c>
      <c r="AI78" s="24">
        <f t="shared" ca="1" si="80"/>
        <v>16.488467605157155</v>
      </c>
      <c r="AJ78" s="24">
        <f t="shared" ca="1" si="80"/>
        <v>15.92991110686407</v>
      </c>
      <c r="AK78" s="24">
        <f t="shared" ca="1" si="80"/>
        <v>11.068225175363564</v>
      </c>
      <c r="AL78" s="24">
        <f t="shared" ca="1" si="80"/>
        <v>13.814500202004659</v>
      </c>
      <c r="AM78" s="24">
        <f t="shared" ca="1" si="80"/>
        <v>18.239798039330275</v>
      </c>
      <c r="AN78" s="24">
        <f t="shared" ca="1" si="80"/>
        <v>16.988000384489162</v>
      </c>
      <c r="AO78" s="24">
        <f t="shared" ca="1" si="80"/>
        <v>12.201664860903085</v>
      </c>
      <c r="AP78" s="24">
        <f t="shared" ca="1" si="80"/>
        <v>14.510807630239967</v>
      </c>
      <c r="AQ78" s="24">
        <f t="shared" ca="1" si="80"/>
        <v>19.353608171180625</v>
      </c>
      <c r="AR78" s="24">
        <f t="shared" ca="1" si="80"/>
        <v>17.884641027271318</v>
      </c>
      <c r="AS78" s="24">
        <f t="shared" ca="1" si="80"/>
        <v>13.092618804847357</v>
      </c>
      <c r="AT78" s="24">
        <f t="shared" ca="1" si="80"/>
        <v>14.521836142260177</v>
      </c>
      <c r="AU78" s="24">
        <f t="shared" ca="1" si="80"/>
        <v>19.546368911239007</v>
      </c>
      <c r="AV78" s="24">
        <f t="shared" ca="1" si="80"/>
        <v>17.986724983241071</v>
      </c>
      <c r="AW78" s="24">
        <f t="shared" ca="1" si="80"/>
        <v>13.086131434360272</v>
      </c>
      <c r="AX78" s="24">
        <f t="shared" ca="1" si="80"/>
        <v>14.523958772483319</v>
      </c>
      <c r="AY78" s="24">
        <f t="shared" ca="1" si="80"/>
        <v>19.739532906103602</v>
      </c>
      <c r="AZ78" s="24">
        <f t="shared" ca="1" si="80"/>
        <v>18.083811764042288</v>
      </c>
      <c r="BA78" s="24">
        <f t="shared" ca="1" si="80"/>
        <v>13.070792208724132</v>
      </c>
      <c r="BB78" s="8" t="s">
        <v>75</v>
      </c>
    </row>
    <row r="79" spans="2:54" x14ac:dyDescent="0.2">
      <c r="B79" s="26" t="s">
        <v>141</v>
      </c>
      <c r="C79" s="45" t="s">
        <v>177</v>
      </c>
      <c r="E79" s="11"/>
      <c r="F79" s="11"/>
      <c r="G79" s="30">
        <f t="shared" ref="G79:N79" ca="1" si="81">+G78/G63</f>
        <v>0.66003929047286469</v>
      </c>
      <c r="H79" s="30">
        <f t="shared" ca="1" si="81"/>
        <v>0.55402890733835863</v>
      </c>
      <c r="I79" s="30">
        <f t="shared" ca="1" si="81"/>
        <v>0.5295700246923688</v>
      </c>
      <c r="J79" s="30">
        <f t="shared" ca="1" si="81"/>
        <v>0.58028292365556966</v>
      </c>
      <c r="K79" s="30">
        <f t="shared" ca="1" si="81"/>
        <v>0.61668389586766181</v>
      </c>
      <c r="L79" s="30">
        <f t="shared" ca="1" si="81"/>
        <v>0.63994163214892819</v>
      </c>
      <c r="M79" s="30">
        <f t="shared" ca="1" si="81"/>
        <v>0.62996892181287956</v>
      </c>
      <c r="N79" s="30">
        <f t="shared" ca="1" si="81"/>
        <v>0.61976957748117079</v>
      </c>
      <c r="P79" s="97"/>
      <c r="R79" s="25"/>
      <c r="S79" s="25"/>
      <c r="T79" s="25"/>
      <c r="U79" s="25"/>
      <c r="V79" s="30">
        <f t="shared" ref="V79:BA79" ca="1" si="82">+V78/V63</f>
        <v>0.58452283923847348</v>
      </c>
      <c r="W79" s="30">
        <f t="shared" ca="1" si="82"/>
        <v>0.75643242798852028</v>
      </c>
      <c r="X79" s="30">
        <f t="shared" ca="1" si="82"/>
        <v>0.64391875174954527</v>
      </c>
      <c r="Y79" s="30">
        <f t="shared" ca="1" si="82"/>
        <v>0.64796378009680222</v>
      </c>
      <c r="Z79" s="30">
        <f t="shared" ca="1" si="82"/>
        <v>0.5298686624014648</v>
      </c>
      <c r="AA79" s="30">
        <f t="shared" ca="1" si="82"/>
        <v>0.50084169449934191</v>
      </c>
      <c r="AB79" s="30">
        <f t="shared" ca="1" si="82"/>
        <v>0.5924079645209086</v>
      </c>
      <c r="AC79" s="30">
        <f t="shared" ca="1" si="82"/>
        <v>0.58920322518541057</v>
      </c>
      <c r="AD79" s="30">
        <f t="shared" ca="1" si="82"/>
        <v>0.55818341891798184</v>
      </c>
      <c r="AE79" s="30">
        <f t="shared" ca="1" si="82"/>
        <v>0.50494207799400326</v>
      </c>
      <c r="AF79" s="30">
        <f t="shared" ca="1" si="82"/>
        <v>0.57123202902631376</v>
      </c>
      <c r="AG79" s="30">
        <f t="shared" ca="1" si="82"/>
        <v>0.47664757652339329</v>
      </c>
      <c r="AH79" s="30">
        <f t="shared" ca="1" si="82"/>
        <v>0.56872633445620058</v>
      </c>
      <c r="AI79" s="30">
        <f t="shared" ca="1" si="82"/>
        <v>0.59806980341628291</v>
      </c>
      <c r="AJ79" s="30">
        <f t="shared" ca="1" si="82"/>
        <v>0.60743221878652531</v>
      </c>
      <c r="AK79" s="30">
        <f t="shared" ca="1" si="82"/>
        <v>0.5349490728335683</v>
      </c>
      <c r="AL79" s="30">
        <f t="shared" ca="1" si="82"/>
        <v>0.59230550768249335</v>
      </c>
      <c r="AM79" s="30">
        <f t="shared" ca="1" si="82"/>
        <v>0.64769725348783558</v>
      </c>
      <c r="AN79" s="30">
        <f t="shared" ca="1" si="82"/>
        <v>0.634972376575895</v>
      </c>
      <c r="AO79" s="30">
        <f t="shared" ca="1" si="82"/>
        <v>0.57900297633723563</v>
      </c>
      <c r="AP79" s="30">
        <f t="shared" ca="1" si="82"/>
        <v>0.61014881114754327</v>
      </c>
      <c r="AQ79" s="30">
        <f t="shared" ca="1" si="82"/>
        <v>0.6726351213296895</v>
      </c>
      <c r="AR79" s="30">
        <f t="shared" ca="1" si="82"/>
        <v>0.65510784372165121</v>
      </c>
      <c r="AS79" s="30">
        <f t="shared" ca="1" si="82"/>
        <v>0.60984307183845121</v>
      </c>
      <c r="AT79" s="30">
        <f t="shared" ca="1" si="82"/>
        <v>0.59867913147751128</v>
      </c>
      <c r="AU79" s="30">
        <f t="shared" ca="1" si="82"/>
        <v>0.66471139376985711</v>
      </c>
      <c r="AV79" s="30">
        <f t="shared" ca="1" si="82"/>
        <v>0.64549832382384065</v>
      </c>
      <c r="AW79" s="30">
        <f t="shared" ca="1" si="82"/>
        <v>0.59818249706688364</v>
      </c>
      <c r="AX79" s="30">
        <f t="shared" ca="1" si="82"/>
        <v>0.58692052391785121</v>
      </c>
      <c r="AY79" s="30">
        <f t="shared" ca="1" si="82"/>
        <v>0.65665312241923779</v>
      </c>
      <c r="AZ79" s="30">
        <f t="shared" ca="1" si="82"/>
        <v>0.63567113593736657</v>
      </c>
      <c r="BA79" s="30">
        <f t="shared" ca="1" si="82"/>
        <v>0.58621180546859664</v>
      </c>
      <c r="BB79" s="8" t="s">
        <v>75</v>
      </c>
    </row>
    <row r="80" spans="2:54" x14ac:dyDescent="0.2">
      <c r="E80" s="11"/>
      <c r="F80" s="11"/>
      <c r="G80" s="11"/>
      <c r="H80" s="11"/>
      <c r="I80" s="11"/>
      <c r="J80" s="11"/>
      <c r="K80" s="11"/>
      <c r="L80" s="11"/>
      <c r="M80" s="11"/>
      <c r="N80" s="11"/>
      <c r="R80" s="25"/>
      <c r="S80" s="25"/>
      <c r="T80" s="25"/>
      <c r="U80" s="25"/>
      <c r="V80" s="12"/>
      <c r="W80" s="12"/>
      <c r="X80" s="12"/>
      <c r="Y80" s="12"/>
      <c r="Z80" s="12"/>
      <c r="AA80" s="12"/>
      <c r="AB80" s="12"/>
      <c r="AC80" s="12"/>
      <c r="BB80" s="8" t="s">
        <v>75</v>
      </c>
    </row>
    <row r="81" spans="1:57" s="35" customFormat="1" x14ac:dyDescent="0.2">
      <c r="A81" s="17" t="s">
        <v>75</v>
      </c>
      <c r="B81" s="36" t="s">
        <v>534</v>
      </c>
      <c r="C81" s="36"/>
      <c r="D81" s="36"/>
      <c r="E81" s="36"/>
      <c r="F81" s="36"/>
      <c r="G81" s="36"/>
      <c r="H81" s="37"/>
      <c r="I81" s="37"/>
      <c r="J81" s="37"/>
      <c r="K81" s="37"/>
      <c r="L81" s="37"/>
      <c r="M81" s="37"/>
      <c r="N81" s="37"/>
      <c r="O81" s="37"/>
      <c r="P81" s="37"/>
      <c r="Q81" s="37"/>
      <c r="U81" s="37"/>
      <c r="V81" s="37"/>
      <c r="W81" s="37"/>
      <c r="X81" s="37"/>
      <c r="Y81" s="44"/>
      <c r="Z81" s="44"/>
      <c r="AA81" s="44"/>
      <c r="AB81" s="44"/>
      <c r="AC81" s="44"/>
      <c r="AD81" s="44"/>
      <c r="AE81" s="44"/>
      <c r="AF81" s="44"/>
      <c r="BB81" s="90" t="s">
        <v>75</v>
      </c>
      <c r="BE81" s="90"/>
    </row>
    <row r="82" spans="1:57" x14ac:dyDescent="0.2">
      <c r="B82" s="1" t="s">
        <v>250</v>
      </c>
      <c r="C82" s="45" t="s">
        <v>235</v>
      </c>
      <c r="D82" s="130">
        <v>0</v>
      </c>
      <c r="E82" s="11"/>
      <c r="F82" s="11"/>
      <c r="G82" s="125">
        <f t="shared" ref="G82:N83" si="83">+AVERAGEIFS(82:82,$6:$6,G$3)</f>
        <v>99.62207913744075</v>
      </c>
      <c r="H82" s="125">
        <f t="shared" si="83"/>
        <v>94.296215857011333</v>
      </c>
      <c r="I82" s="125">
        <f t="shared" ca="1" si="83"/>
        <v>108.44064823556303</v>
      </c>
      <c r="J82" s="125">
        <f t="shared" ca="1" si="83"/>
        <v>112.77827416498553</v>
      </c>
      <c r="K82" s="125">
        <f t="shared" ca="1" si="83"/>
        <v>117.28940513158497</v>
      </c>
      <c r="L82" s="125">
        <f t="shared" ca="1" si="83"/>
        <v>121.98098133684837</v>
      </c>
      <c r="M82" s="125">
        <f t="shared" ca="1" si="83"/>
        <v>126.8602205903223</v>
      </c>
      <c r="N82" s="125">
        <f t="shared" ca="1" si="83"/>
        <v>131.9346294139352</v>
      </c>
      <c r="P82" s="97">
        <f t="shared" ref="P82:P87" ca="1" si="84">+(N82/I82)^(1/5)-1</f>
        <v>4.0000000000000036E-2</v>
      </c>
      <c r="R82" s="25"/>
      <c r="S82" s="25"/>
      <c r="T82" s="25"/>
      <c r="U82" s="25"/>
      <c r="V82" s="113">
        <f>+SUMIFS(North!$68:$68,North!$3:$3,South!V$3)</f>
        <v>87.436913346976894</v>
      </c>
      <c r="W82" s="113">
        <f>+SUMIFS(North!$68:$68,North!$3:$3,South!W$3)</f>
        <v>109.01299814327743</v>
      </c>
      <c r="X82" s="113">
        <f>+SUMIFS(North!$68:$68,North!$3:$3,South!X$3)</f>
        <v>92.76522159312178</v>
      </c>
      <c r="Y82" s="113">
        <f>+SUMIFS(North!$68:$68,North!$3:$3,South!Y$3)</f>
        <v>109.2731834663869</v>
      </c>
      <c r="Z82" s="113">
        <f>+SUMIFS(North!$68:$68,North!$3:$3,South!Z$3)</f>
        <v>81.979871200871671</v>
      </c>
      <c r="AA82" s="113">
        <f>+SUMIFS(North!$68:$68,North!$3:$3,South!AA$3)</f>
        <v>95.731117575146413</v>
      </c>
      <c r="AB82" s="113">
        <f>+SUMIFS(North!$68:$68,North!$3:$3,South!AB$3)</f>
        <v>92.894327002105456</v>
      </c>
      <c r="AC82" s="113">
        <f>+SUMIFS(North!$68:$68,North!$3:$3,South!AC$3)</f>
        <v>106.57954764992178</v>
      </c>
      <c r="AD82" s="113">
        <f ca="1">+SUMIFS(North!$68:$68,North!$3:$3,South!AD$3)</f>
        <v>94.276851881002429</v>
      </c>
      <c r="AE82" s="113">
        <f ca="1">+SUMIFS(North!$68:$68,North!$3:$3,South!AE$3)</f>
        <v>110.09078521141835</v>
      </c>
      <c r="AF82" s="113">
        <f ca="1">+SUMIFS(North!$68:$68,North!$3:$3,South!AF$3)</f>
        <v>106.82847605242127</v>
      </c>
      <c r="AG82" s="113">
        <f ca="1">+SUMIFS(North!$68:$68,North!$3:$3,South!AG$3)</f>
        <v>122.56647979741004</v>
      </c>
      <c r="AH82" s="113">
        <f ca="1">+SUMIFS(North!$68:$68,North!$3:$3,South!AH$3)</f>
        <v>98.047925956242509</v>
      </c>
      <c r="AI82" s="113">
        <f ca="1">+SUMIFS(North!$68:$68,North!$3:$3,South!AI$3)</f>
        <v>114.4944166198751</v>
      </c>
      <c r="AJ82" s="113">
        <f ca="1">+SUMIFS(North!$68:$68,North!$3:$3,South!AJ$3)</f>
        <v>111.10161509451808</v>
      </c>
      <c r="AK82" s="113">
        <f ca="1">+SUMIFS(North!$68:$68,North!$3:$3,South!AK$3)</f>
        <v>127.46913898930643</v>
      </c>
      <c r="AL82" s="113">
        <f ca="1">+SUMIFS(North!$68:$68,North!$3:$3,South!AL$3)</f>
        <v>101.9698429944922</v>
      </c>
      <c r="AM82" s="113">
        <f ca="1">+SUMIFS(North!$68:$68,North!$3:$3,South!AM$3)</f>
        <v>119.07419328467009</v>
      </c>
      <c r="AN82" s="113">
        <f ca="1">+SUMIFS(North!$68:$68,North!$3:$3,South!AN$3)</f>
        <v>115.54567969829884</v>
      </c>
      <c r="AO82" s="113">
        <f ca="1">+SUMIFS(North!$68:$68,North!$3:$3,South!AO$3)</f>
        <v>132.56790454887872</v>
      </c>
      <c r="AP82" s="113">
        <f ca="1">+SUMIFS(North!$68:$68,North!$3:$3,South!AP$3)</f>
        <v>106.04863671427191</v>
      </c>
      <c r="AQ82" s="113">
        <f ca="1">+SUMIFS(North!$68:$68,North!$3:$3,South!AQ$3)</f>
        <v>123.83716101605692</v>
      </c>
      <c r="AR82" s="113">
        <f ca="1">+SUMIFS(North!$68:$68,North!$3:$3,South!AR$3)</f>
        <v>120.16750688623078</v>
      </c>
      <c r="AS82" s="113">
        <f ca="1">+SUMIFS(North!$68:$68,North!$3:$3,South!AS$3)</f>
        <v>137.87062073083388</v>
      </c>
      <c r="AT82" s="113">
        <f ca="1">+SUMIFS(North!$68:$68,North!$3:$3,South!AT$3)</f>
        <v>110.29058218284278</v>
      </c>
      <c r="AU82" s="113">
        <f ca="1">+SUMIFS(North!$68:$68,North!$3:$3,South!AU$3)</f>
        <v>128.79064745669919</v>
      </c>
      <c r="AV82" s="113">
        <f ca="1">+SUMIFS(North!$68:$68,North!$3:$3,South!AV$3)</f>
        <v>124.97420716168001</v>
      </c>
      <c r="AW82" s="113">
        <f ca="1">+SUMIFS(North!$68:$68,North!$3:$3,South!AW$3)</f>
        <v>143.38544556006724</v>
      </c>
      <c r="AX82" s="113">
        <f ca="1">+SUMIFS(North!$68:$68,North!$3:$3,South!AX$3)</f>
        <v>114.70220547015651</v>
      </c>
      <c r="AY82" s="113">
        <f ca="1">+SUMIFS(North!$68:$68,North!$3:$3,South!AY$3)</f>
        <v>133.94227335496717</v>
      </c>
      <c r="AZ82" s="113">
        <f ca="1">+SUMIFS(North!$68:$68,North!$3:$3,South!AZ$3)</f>
        <v>129.97317544814723</v>
      </c>
      <c r="BA82" s="113">
        <f ca="1">+SUMIFS(North!$68:$68,North!$3:$3,South!BA$3)</f>
        <v>149.12086338246993</v>
      </c>
      <c r="BB82" s="8" t="s">
        <v>75</v>
      </c>
    </row>
    <row r="83" spans="1:57" x14ac:dyDescent="0.2">
      <c r="B83" s="1" t="s">
        <v>250</v>
      </c>
      <c r="C83" s="45" t="s">
        <v>264</v>
      </c>
      <c r="E83" s="11"/>
      <c r="F83" s="11"/>
      <c r="G83" s="125">
        <f t="shared" ca="1" si="83"/>
        <v>25.229781775127158</v>
      </c>
      <c r="H83" s="125">
        <f t="shared" ca="1" si="83"/>
        <v>18.281487750492232</v>
      </c>
      <c r="I83" s="125">
        <f t="shared" ca="1" si="83"/>
        <v>19.333073965506898</v>
      </c>
      <c r="J83" s="125">
        <f t="shared" ca="1" si="83"/>
        <v>19.531834872899886</v>
      </c>
      <c r="K83" s="125">
        <f t="shared" ca="1" si="83"/>
        <v>19.913845583453199</v>
      </c>
      <c r="L83" s="125">
        <f t="shared" ca="1" si="83"/>
        <v>20.303327798037092</v>
      </c>
      <c r="M83" s="125">
        <f t="shared" ca="1" si="83"/>
        <v>20.700427647037269</v>
      </c>
      <c r="N83" s="125">
        <f t="shared" ca="1" si="83"/>
        <v>21.105294118910535</v>
      </c>
      <c r="P83" s="97">
        <f t="shared" ca="1" si="84"/>
        <v>1.7696074296993158E-2</v>
      </c>
      <c r="R83" s="25"/>
      <c r="S83" s="25"/>
      <c r="T83" s="25"/>
      <c r="U83" s="25"/>
      <c r="V83" s="125">
        <f t="shared" ref="V83:BA83" ca="1" si="85">+V82/V9</f>
        <v>23.220046792126919</v>
      </c>
      <c r="W83" s="125">
        <f t="shared" ca="1" si="85"/>
        <v>27.798423702603039</v>
      </c>
      <c r="X83" s="125">
        <f t="shared" ca="1" si="85"/>
        <v>23.353140895508986</v>
      </c>
      <c r="Y83" s="125">
        <f t="shared" ca="1" si="85"/>
        <v>26.547515710269685</v>
      </c>
      <c r="Z83" s="125">
        <f t="shared" ca="1" si="85"/>
        <v>18.329566078565453</v>
      </c>
      <c r="AA83" s="125">
        <f t="shared" ca="1" si="85"/>
        <v>17.775207212859456</v>
      </c>
      <c r="AB83" s="125">
        <f t="shared" ca="1" si="85"/>
        <v>17.266060418851154</v>
      </c>
      <c r="AC83" s="125">
        <f t="shared" ca="1" si="85"/>
        <v>19.755117291692866</v>
      </c>
      <c r="AD83" s="125">
        <f t="shared" ca="1" si="85"/>
        <v>17.490682860097753</v>
      </c>
      <c r="AE83" s="125">
        <f t="shared" ca="1" si="85"/>
        <v>19.50579166684598</v>
      </c>
      <c r="AF83" s="125">
        <f t="shared" ca="1" si="85"/>
        <v>18.834076631591739</v>
      </c>
      <c r="AG83" s="125">
        <f t="shared" ca="1" si="85"/>
        <v>21.501744703492115</v>
      </c>
      <c r="AH83" s="125">
        <f t="shared" ca="1" si="85"/>
        <v>17.115322518292619</v>
      </c>
      <c r="AI83" s="125">
        <f t="shared" ca="1" si="85"/>
        <v>19.887293014929536</v>
      </c>
      <c r="AJ83" s="125">
        <f t="shared" ca="1" si="85"/>
        <v>19.202440333387752</v>
      </c>
      <c r="AK83" s="125">
        <f t="shared" ca="1" si="85"/>
        <v>21.922283624989625</v>
      </c>
      <c r="AL83" s="125">
        <f t="shared" ca="1" si="85"/>
        <v>17.450070203756297</v>
      </c>
      <c r="AM83" s="125">
        <f t="shared" ca="1" si="85"/>
        <v>20.276255904747739</v>
      </c>
      <c r="AN83" s="125">
        <f t="shared" ca="1" si="85"/>
        <v>19.578008626067366</v>
      </c>
      <c r="AO83" s="125">
        <f t="shared" ca="1" si="85"/>
        <v>22.351047599241387</v>
      </c>
      <c r="AP83" s="125">
        <f t="shared" ca="1" si="85"/>
        <v>17.791365005863774</v>
      </c>
      <c r="AQ83" s="125">
        <f t="shared" ca="1" si="85"/>
        <v>20.672826271840119</v>
      </c>
      <c r="AR83" s="125">
        <f t="shared" ca="1" si="85"/>
        <v>19.960922419632141</v>
      </c>
      <c r="AS83" s="125">
        <f t="shared" ca="1" si="85"/>
        <v>22.788197494812337</v>
      </c>
      <c r="AT83" s="125">
        <f t="shared" ca="1" si="85"/>
        <v>18.139334975496958</v>
      </c>
      <c r="AU83" s="125">
        <f t="shared" ca="1" si="85"/>
        <v>21.077152906006379</v>
      </c>
      <c r="AV83" s="125">
        <f t="shared" ca="1" si="85"/>
        <v>20.351325380052575</v>
      </c>
      <c r="AW83" s="125">
        <f t="shared" ca="1" si="85"/>
        <v>23.233897326593169</v>
      </c>
      <c r="AX83" s="125">
        <f t="shared" ca="1" si="85"/>
        <v>18.494110668003383</v>
      </c>
      <c r="AY83" s="125">
        <f t="shared" ca="1" si="85"/>
        <v>21.489387507131127</v>
      </c>
      <c r="AZ83" s="125">
        <f t="shared" ca="1" si="85"/>
        <v>20.749363983170323</v>
      </c>
      <c r="BA83" s="125">
        <f t="shared" ca="1" si="85"/>
        <v>23.688314317337305</v>
      </c>
      <c r="BB83" s="8" t="s">
        <v>75</v>
      </c>
    </row>
    <row r="84" spans="1:57" x14ac:dyDescent="0.2">
      <c r="C84" s="45"/>
      <c r="E84" s="11"/>
      <c r="F84" s="11"/>
      <c r="G84" s="11"/>
      <c r="H84" s="11"/>
      <c r="I84" s="11"/>
      <c r="J84" s="11"/>
      <c r="K84" s="11"/>
      <c r="L84" s="11"/>
      <c r="M84" s="11"/>
      <c r="N84" s="11"/>
      <c r="R84" s="25"/>
      <c r="S84" s="25"/>
      <c r="T84" s="25"/>
      <c r="U84" s="25"/>
      <c r="V84" s="125"/>
      <c r="W84" s="125"/>
      <c r="X84" s="125"/>
      <c r="Y84" s="125"/>
      <c r="Z84" s="125"/>
      <c r="AA84" s="125"/>
      <c r="AB84" s="125"/>
      <c r="AC84" s="125"/>
      <c r="AD84" s="39"/>
      <c r="BB84" s="8" t="s">
        <v>75</v>
      </c>
    </row>
    <row r="85" spans="1:57" x14ac:dyDescent="0.2">
      <c r="B85" s="1" t="s">
        <v>251</v>
      </c>
      <c r="C85" s="45" t="s">
        <v>164</v>
      </c>
      <c r="E85" s="11"/>
      <c r="F85" s="11"/>
      <c r="G85" s="11">
        <f t="shared" ref="G85:N87" ca="1" si="86">+SUMIFS(85:85,$6:$6,G$3)</f>
        <v>43.928706186055301</v>
      </c>
      <c r="H85" s="11">
        <f t="shared" ca="1" si="86"/>
        <v>24.024962192599066</v>
      </c>
      <c r="I85" s="11">
        <f t="shared" ca="1" si="86"/>
        <v>26.682598852196776</v>
      </c>
      <c r="J85" s="11">
        <f t="shared" ca="1" si="86"/>
        <v>28.301439048866129</v>
      </c>
      <c r="K85" s="11">
        <f t="shared" ca="1" si="86"/>
        <v>29.576343080053928</v>
      </c>
      <c r="L85" s="11">
        <f t="shared" ca="1" si="86"/>
        <v>30.908678123351475</v>
      </c>
      <c r="M85" s="11">
        <f t="shared" ca="1" si="86"/>
        <v>32.301031292040463</v>
      </c>
      <c r="N85" s="11">
        <f t="shared" ca="1" si="86"/>
        <v>33.756106241926986</v>
      </c>
      <c r="P85" s="97">
        <f t="shared" ca="1" si="84"/>
        <v>4.815339075912406E-2</v>
      </c>
      <c r="R85" s="25"/>
      <c r="S85" s="25"/>
      <c r="T85" s="25"/>
      <c r="U85" s="25"/>
      <c r="V85" s="23">
        <f t="shared" ref="V85:AC85" ca="1" si="87">+V83*V22/1000</f>
        <v>11.054157465244254</v>
      </c>
      <c r="W85" s="23">
        <f t="shared" ca="1" si="87"/>
        <v>13.682303558790903</v>
      </c>
      <c r="X85" s="23">
        <f t="shared" ca="1" si="87"/>
        <v>12.508872816239876</v>
      </c>
      <c r="Y85" s="23">
        <f t="shared" ca="1" si="87"/>
        <v>6.6833723457802625</v>
      </c>
      <c r="Z85" s="23">
        <f t="shared" ca="1" si="87"/>
        <v>6.1003176385175353</v>
      </c>
      <c r="AA85" s="23">
        <f t="shared" ca="1" si="87"/>
        <v>7.4100935079402985</v>
      </c>
      <c r="AB85" s="23">
        <f t="shared" ca="1" si="87"/>
        <v>6.3109080574343892</v>
      </c>
      <c r="AC85" s="23">
        <f t="shared" ca="1" si="87"/>
        <v>4.2036429887068429</v>
      </c>
      <c r="AD85" s="106">
        <f ca="1">+AD99</f>
        <v>6.1121827292049788</v>
      </c>
      <c r="AE85" s="23">
        <f t="shared" ref="AE85:BA85" ca="1" si="88">+AE99</f>
        <v>8.5381129676970762</v>
      </c>
      <c r="AF85" s="23">
        <f t="shared" ca="1" si="88"/>
        <v>7.2282344228809112</v>
      </c>
      <c r="AG85" s="23">
        <f t="shared" ca="1" si="88"/>
        <v>4.8040687324138087</v>
      </c>
      <c r="AH85" s="23">
        <f t="shared" ca="1" si="88"/>
        <v>6.2800622774267936</v>
      </c>
      <c r="AI85" s="23">
        <f t="shared" ca="1" si="88"/>
        <v>9.1403597017474105</v>
      </c>
      <c r="AJ85" s="23">
        <f t="shared" ca="1" si="88"/>
        <v>7.7380871960405013</v>
      </c>
      <c r="AK85" s="23">
        <f t="shared" ca="1" si="88"/>
        <v>5.1429298736514255</v>
      </c>
      <c r="AL85" s="23">
        <f t="shared" ca="1" si="88"/>
        <v>6.5629622635291813</v>
      </c>
      <c r="AM85" s="23">
        <f t="shared" ca="1" si="88"/>
        <v>9.5521084262608031</v>
      </c>
      <c r="AN85" s="23">
        <f t="shared" ca="1" si="88"/>
        <v>8.0866672997900313</v>
      </c>
      <c r="AO85" s="23">
        <f t="shared" ca="1" si="88"/>
        <v>5.37460509047391</v>
      </c>
      <c r="AP85" s="23">
        <f t="shared" ca="1" si="88"/>
        <v>6.8586061363322495</v>
      </c>
      <c r="AQ85" s="23">
        <f t="shared" ca="1" si="88"/>
        <v>9.9824053280528275</v>
      </c>
      <c r="AR85" s="23">
        <f t="shared" ca="1" si="88"/>
        <v>8.4509500036333112</v>
      </c>
      <c r="AS85" s="23">
        <f t="shared" ca="1" si="88"/>
        <v>5.6167166553330894</v>
      </c>
      <c r="AT85" s="23">
        <f t="shared" ca="1" si="88"/>
        <v>7.1675679738007094</v>
      </c>
      <c r="AU85" s="23">
        <f t="shared" ca="1" si="88"/>
        <v>10.432085952833459</v>
      </c>
      <c r="AV85" s="23">
        <f t="shared" ca="1" si="88"/>
        <v>8.8316426676492892</v>
      </c>
      <c r="AW85" s="23">
        <f t="shared" ca="1" si="88"/>
        <v>5.8697346977570017</v>
      </c>
      <c r="AX85" s="23">
        <f t="shared" ca="1" si="88"/>
        <v>7.4904477145740742</v>
      </c>
      <c r="AY85" s="23">
        <f t="shared" ca="1" si="88"/>
        <v>10.90202348540913</v>
      </c>
      <c r="AZ85" s="23">
        <f t="shared" ca="1" si="88"/>
        <v>9.2294845165939741</v>
      </c>
      <c r="BA85" s="23">
        <f t="shared" ca="1" si="88"/>
        <v>6.1341505253498063</v>
      </c>
      <c r="BB85" s="8" t="s">
        <v>75</v>
      </c>
    </row>
    <row r="86" spans="1:57" x14ac:dyDescent="0.2">
      <c r="B86" s="1" t="s">
        <v>252</v>
      </c>
      <c r="C86" s="45" t="s">
        <v>164</v>
      </c>
      <c r="E86" s="11"/>
      <c r="F86" s="11"/>
      <c r="G86" s="11">
        <f t="shared" ca="1" si="86"/>
        <v>52.188087746019704</v>
      </c>
      <c r="H86" s="11">
        <f t="shared" ca="1" si="86"/>
        <v>69.339958032583624</v>
      </c>
      <c r="I86" s="11">
        <f t="shared" ca="1" si="86"/>
        <v>69.083601814004822</v>
      </c>
      <c r="J86" s="11">
        <f t="shared" ca="1" si="86"/>
        <v>69.061726208072571</v>
      </c>
      <c r="K86" s="11">
        <f t="shared" ca="1" si="86"/>
        <v>69.735417608228943</v>
      </c>
      <c r="L86" s="11">
        <f t="shared" ca="1" si="86"/>
        <v>70.415680812010336</v>
      </c>
      <c r="M86" s="11">
        <f t="shared" ca="1" si="86"/>
        <v>71.102579926814983</v>
      </c>
      <c r="N86" s="11">
        <f t="shared" ca="1" si="86"/>
        <v>71.796179685403487</v>
      </c>
      <c r="P86" s="97">
        <f t="shared" ca="1" si="84"/>
        <v>7.7325177385803023E-3</v>
      </c>
      <c r="R86" s="25"/>
      <c r="S86" s="25"/>
      <c r="T86" s="25"/>
      <c r="U86" s="25"/>
      <c r="V86" s="23">
        <f t="shared" ref="V86:AC86" ca="1" si="89">+V63-V85</f>
        <v>13.709546115730797</v>
      </c>
      <c r="W86" s="23">
        <f t="shared" ca="1" si="89"/>
        <v>12.484791909691744</v>
      </c>
      <c r="X86" s="23">
        <f t="shared" ca="1" si="89"/>
        <v>13.848783746950879</v>
      </c>
      <c r="Y86" s="23">
        <f t="shared" ca="1" si="89"/>
        <v>12.14496597364629</v>
      </c>
      <c r="Z86" s="23">
        <f t="shared" ca="1" si="89"/>
        <v>14.395343054541005</v>
      </c>
      <c r="AA86" s="23">
        <f t="shared" ca="1" si="89"/>
        <v>16.88213041780185</v>
      </c>
      <c r="AB86" s="23">
        <f t="shared" ca="1" si="89"/>
        <v>18.200220009279757</v>
      </c>
      <c r="AC86" s="23">
        <f t="shared" ca="1" si="89"/>
        <v>19.862264550961019</v>
      </c>
      <c r="AD86" s="106">
        <f ca="1">+AD101</f>
        <v>17.127096997249392</v>
      </c>
      <c r="AE86" s="23">
        <f t="shared" ref="AE86:BA86" ca="1" si="90">+AE101</f>
        <v>18.251072770525258</v>
      </c>
      <c r="AF86" s="23">
        <f t="shared" ca="1" si="90"/>
        <v>18.308318602212427</v>
      </c>
      <c r="AG86" s="23">
        <f t="shared" ca="1" si="90"/>
        <v>15.397113444017741</v>
      </c>
      <c r="AH86" s="23">
        <f t="shared" ca="1" si="90"/>
        <v>16.598390004395636</v>
      </c>
      <c r="AI86" s="23">
        <f t="shared" ca="1" si="90"/>
        <v>18.429110468744472</v>
      </c>
      <c r="AJ86" s="23">
        <f t="shared" ca="1" si="90"/>
        <v>18.486914728762642</v>
      </c>
      <c r="AK86" s="23">
        <f t="shared" ca="1" si="90"/>
        <v>15.547311006169815</v>
      </c>
      <c r="AL86" s="23">
        <f t="shared" ca="1" si="90"/>
        <v>16.760305919568573</v>
      </c>
      <c r="AM86" s="23">
        <f t="shared" ca="1" si="90"/>
        <v>18.608884909914948</v>
      </c>
      <c r="AN86" s="23">
        <f t="shared" ca="1" si="90"/>
        <v>18.667253045686085</v>
      </c>
      <c r="AO86" s="23">
        <f t="shared" ca="1" si="90"/>
        <v>15.698973733059328</v>
      </c>
      <c r="AP86" s="23">
        <f t="shared" ca="1" si="90"/>
        <v>16.923801311038869</v>
      </c>
      <c r="AQ86" s="23">
        <f t="shared" ca="1" si="90"/>
        <v>18.79041303581986</v>
      </c>
      <c r="AR86" s="23">
        <f t="shared" ca="1" si="90"/>
        <v>18.849350547905075</v>
      </c>
      <c r="AS86" s="23">
        <f t="shared" ca="1" si="90"/>
        <v>15.852115917246531</v>
      </c>
      <c r="AT86" s="23">
        <f t="shared" ca="1" si="90"/>
        <v>17.088891586466548</v>
      </c>
      <c r="AU86" s="23">
        <f t="shared" ca="1" si="90"/>
        <v>18.973711953508047</v>
      </c>
      <c r="AV86" s="23">
        <f t="shared" ca="1" si="90"/>
        <v>19.033224396125966</v>
      </c>
      <c r="AW86" s="23">
        <f t="shared" ca="1" si="90"/>
        <v>16.006751990714417</v>
      </c>
      <c r="AX86" s="23">
        <f t="shared" ca="1" si="90"/>
        <v>17.255592303812087</v>
      </c>
      <c r="AY86" s="23">
        <f t="shared" ca="1" si="90"/>
        <v>19.158798936906212</v>
      </c>
      <c r="AZ86" s="23">
        <f t="shared" ca="1" si="90"/>
        <v>19.218891918456407</v>
      </c>
      <c r="BA86" s="23">
        <f t="shared" ca="1" si="90"/>
        <v>16.162896526228781</v>
      </c>
      <c r="BB86" s="8" t="s">
        <v>75</v>
      </c>
    </row>
    <row r="87" spans="1:57" s="2" customFormat="1" x14ac:dyDescent="0.2">
      <c r="B87" s="18" t="s">
        <v>260</v>
      </c>
      <c r="C87" s="81" t="s">
        <v>164</v>
      </c>
      <c r="E87" s="13"/>
      <c r="F87" s="13"/>
      <c r="G87" s="13">
        <f t="shared" ca="1" si="86"/>
        <v>96.116793932074998</v>
      </c>
      <c r="H87" s="13">
        <f t="shared" ca="1" si="86"/>
        <v>93.364920225182701</v>
      </c>
      <c r="I87" s="13">
        <f t="shared" ca="1" si="86"/>
        <v>95.766200666201598</v>
      </c>
      <c r="J87" s="13">
        <f t="shared" ca="1" si="86"/>
        <v>97.363165256938686</v>
      </c>
      <c r="K87" s="13">
        <f t="shared" ca="1" si="86"/>
        <v>99.31176068828286</v>
      </c>
      <c r="L87" s="13">
        <f t="shared" ca="1" si="86"/>
        <v>101.3243589353618</v>
      </c>
      <c r="M87" s="13">
        <f t="shared" ca="1" si="86"/>
        <v>103.40361121885543</v>
      </c>
      <c r="N87" s="13">
        <f t="shared" ca="1" si="86"/>
        <v>105.55228592733047</v>
      </c>
      <c r="P87" s="97">
        <f t="shared" ca="1" si="84"/>
        <v>1.9649890747675203E-2</v>
      </c>
      <c r="R87" s="32"/>
      <c r="S87" s="32"/>
      <c r="T87" s="32"/>
      <c r="U87" s="32"/>
      <c r="V87" s="24">
        <f ca="1">+V85+V86</f>
        <v>24.763703580975051</v>
      </c>
      <c r="W87" s="24">
        <f t="shared" ref="W87:BA87" ca="1" si="91">+W85+W86</f>
        <v>26.167095468482646</v>
      </c>
      <c r="X87" s="24">
        <f t="shared" ca="1" si="91"/>
        <v>26.357656563190755</v>
      </c>
      <c r="Y87" s="24">
        <f t="shared" ca="1" si="91"/>
        <v>18.828338319426553</v>
      </c>
      <c r="Z87" s="24">
        <f t="shared" ca="1" si="91"/>
        <v>20.495660693058539</v>
      </c>
      <c r="AA87" s="24">
        <f t="shared" ca="1" si="91"/>
        <v>24.29222392574215</v>
      </c>
      <c r="AB87" s="24">
        <f t="shared" ca="1" si="91"/>
        <v>24.511128066714146</v>
      </c>
      <c r="AC87" s="24">
        <f t="shared" ca="1" si="91"/>
        <v>24.065907539667862</v>
      </c>
      <c r="AD87" s="24">
        <f t="shared" ca="1" si="91"/>
        <v>23.23927972645437</v>
      </c>
      <c r="AE87" s="24">
        <f t="shared" ca="1" si="91"/>
        <v>26.789185738222336</v>
      </c>
      <c r="AF87" s="24">
        <f t="shared" ca="1" si="91"/>
        <v>25.53655302509334</v>
      </c>
      <c r="AG87" s="24">
        <f t="shared" ca="1" si="91"/>
        <v>20.201182176431551</v>
      </c>
      <c r="AH87" s="24">
        <f t="shared" ca="1" si="91"/>
        <v>22.87845228182243</v>
      </c>
      <c r="AI87" s="24">
        <f t="shared" ca="1" si="91"/>
        <v>27.569470170491883</v>
      </c>
      <c r="AJ87" s="24">
        <f t="shared" ca="1" si="91"/>
        <v>26.225001924803145</v>
      </c>
      <c r="AK87" s="24">
        <f t="shared" ca="1" si="91"/>
        <v>20.690240879821239</v>
      </c>
      <c r="AL87" s="24">
        <f t="shared" ca="1" si="91"/>
        <v>23.323268183097753</v>
      </c>
      <c r="AM87" s="24">
        <f t="shared" ca="1" si="91"/>
        <v>28.16099333617575</v>
      </c>
      <c r="AN87" s="24">
        <f t="shared" ca="1" si="91"/>
        <v>26.753920345476118</v>
      </c>
      <c r="AO87" s="24">
        <f t="shared" ca="1" si="91"/>
        <v>21.073578823533239</v>
      </c>
      <c r="AP87" s="24">
        <f t="shared" ca="1" si="91"/>
        <v>23.782407447371117</v>
      </c>
      <c r="AQ87" s="24">
        <f t="shared" ca="1" si="91"/>
        <v>28.772818363872688</v>
      </c>
      <c r="AR87" s="24">
        <f t="shared" ca="1" si="91"/>
        <v>27.300300551538385</v>
      </c>
      <c r="AS87" s="24">
        <f t="shared" ca="1" si="91"/>
        <v>21.468832572579622</v>
      </c>
      <c r="AT87" s="24">
        <f t="shared" ca="1" si="91"/>
        <v>24.25645956026726</v>
      </c>
      <c r="AU87" s="24">
        <f t="shared" ca="1" si="91"/>
        <v>29.405797906341505</v>
      </c>
      <c r="AV87" s="24">
        <f t="shared" ca="1" si="91"/>
        <v>27.864867063775257</v>
      </c>
      <c r="AW87" s="24">
        <f t="shared" ca="1" si="91"/>
        <v>21.876486688471417</v>
      </c>
      <c r="AX87" s="24">
        <f t="shared" ca="1" si="91"/>
        <v>24.746040018386161</v>
      </c>
      <c r="AY87" s="24">
        <f t="shared" ca="1" si="91"/>
        <v>30.06082242231534</v>
      </c>
      <c r="AZ87" s="24">
        <f t="shared" ca="1" si="91"/>
        <v>28.448376435050381</v>
      </c>
      <c r="BA87" s="24">
        <f t="shared" ca="1" si="91"/>
        <v>22.297047051578588</v>
      </c>
      <c r="BB87" s="83" t="s">
        <v>75</v>
      </c>
    </row>
    <row r="88" spans="1:57" x14ac:dyDescent="0.2">
      <c r="E88" s="11"/>
      <c r="F88" s="11"/>
      <c r="G88" s="11"/>
      <c r="H88" s="11"/>
      <c r="I88" s="11"/>
      <c r="J88" s="11"/>
      <c r="K88" s="11"/>
      <c r="L88" s="11"/>
      <c r="M88" s="11"/>
      <c r="N88" s="11"/>
      <c r="R88" s="25"/>
      <c r="S88" s="25"/>
      <c r="T88" s="25"/>
      <c r="U88" s="25"/>
      <c r="V88" s="23"/>
      <c r="W88" s="23"/>
      <c r="X88" s="23"/>
      <c r="Y88" s="23"/>
      <c r="Z88" s="23"/>
      <c r="AA88" s="23"/>
      <c r="AB88" s="23"/>
      <c r="AC88" s="23"/>
      <c r="AD88" s="23"/>
      <c r="BB88" s="8" t="s">
        <v>75</v>
      </c>
    </row>
    <row r="89" spans="1:57" x14ac:dyDescent="0.2">
      <c r="B89" s="2" t="s">
        <v>577</v>
      </c>
      <c r="C89" s="45" t="s">
        <v>164</v>
      </c>
      <c r="E89" s="11"/>
      <c r="F89" s="11"/>
      <c r="G89" s="13">
        <f t="shared" ref="G89:N89" ca="1" si="92">+SUMIFS(89:89,$6:$6,G$3)</f>
        <v>47.873492881271915</v>
      </c>
      <c r="H89" s="13">
        <f t="shared" ca="1" si="92"/>
        <v>27.683966732677721</v>
      </c>
      <c r="I89" s="13">
        <f t="shared" ca="1" si="92"/>
        <v>8.7221280216279933</v>
      </c>
      <c r="J89" s="13">
        <f t="shared" ca="1" si="92"/>
        <v>8.7193661240071165</v>
      </c>
      <c r="K89" s="13">
        <f t="shared" ca="1" si="92"/>
        <v>8.8044228159707707</v>
      </c>
      <c r="L89" s="13">
        <f t="shared" ca="1" si="92"/>
        <v>0</v>
      </c>
      <c r="M89" s="13">
        <f t="shared" ca="1" si="92"/>
        <v>0</v>
      </c>
      <c r="N89" s="13">
        <f t="shared" ca="1" si="92"/>
        <v>0</v>
      </c>
      <c r="R89" s="25"/>
      <c r="S89" s="25"/>
      <c r="T89" s="25"/>
      <c r="U89" s="25"/>
      <c r="V89" s="24">
        <f t="shared" ref="V89:BA89" ca="1" si="93">+SUM(V90:V91)</f>
        <v>12.872018304909895</v>
      </c>
      <c r="W89" s="24">
        <f t="shared" ca="1" si="93"/>
        <v>13.060511447123778</v>
      </c>
      <c r="X89" s="24">
        <f t="shared" ca="1" si="93"/>
        <v>12.98762340881083</v>
      </c>
      <c r="Y89" s="24">
        <f t="shared" ca="1" si="93"/>
        <v>8.9533397204274081</v>
      </c>
      <c r="Z89" s="24">
        <f t="shared" ca="1" si="93"/>
        <v>7.0052668775894231</v>
      </c>
      <c r="AA89" s="24">
        <f t="shared" ca="1" si="93"/>
        <v>6.8951962138373064</v>
      </c>
      <c r="AB89" s="24">
        <f t="shared" ca="1" si="93"/>
        <v>6.9644235094062887</v>
      </c>
      <c r="AC89" s="24">
        <f t="shared" ca="1" si="93"/>
        <v>6.8190801318447045</v>
      </c>
      <c r="AD89" s="24">
        <f t="shared" ca="1" si="93"/>
        <v>2.1623761460938464</v>
      </c>
      <c r="AE89" s="24">
        <f t="shared" ca="1" si="93"/>
        <v>2.304283347373167</v>
      </c>
      <c r="AF89" s="24">
        <f t="shared" ca="1" si="93"/>
        <v>2.3115109015187127</v>
      </c>
      <c r="AG89" s="24">
        <f t="shared" ca="1" si="93"/>
        <v>1.9439576266422673</v>
      </c>
      <c r="AH89" s="24">
        <f t="shared" ca="1" si="93"/>
        <v>2.0956244140400382</v>
      </c>
      <c r="AI89" s="24">
        <f t="shared" ca="1" si="93"/>
        <v>2.3267614399417158</v>
      </c>
      <c r="AJ89" s="24">
        <f t="shared" ca="1" si="93"/>
        <v>2.3340594982773446</v>
      </c>
      <c r="AK89" s="24">
        <f t="shared" ca="1" si="93"/>
        <v>1.962920771748017</v>
      </c>
      <c r="AL89" s="24">
        <f t="shared" ca="1" si="93"/>
        <v>2.1160670560534007</v>
      </c>
      <c r="AM89" s="24">
        <f t="shared" ca="1" si="93"/>
        <v>2.3494588044353493</v>
      </c>
      <c r="AN89" s="24">
        <f t="shared" ca="1" si="93"/>
        <v>2.3568280547235765</v>
      </c>
      <c r="AO89" s="24">
        <f t="shared" ca="1" si="93"/>
        <v>1.982068900758444</v>
      </c>
      <c r="AP89" s="24">
        <f t="shared" ca="1" si="93"/>
        <v>0</v>
      </c>
      <c r="AQ89" s="24">
        <f t="shared" ca="1" si="93"/>
        <v>0</v>
      </c>
      <c r="AR89" s="24">
        <f t="shared" ca="1" si="93"/>
        <v>0</v>
      </c>
      <c r="AS89" s="24">
        <f t="shared" ca="1" si="93"/>
        <v>0</v>
      </c>
      <c r="AT89" s="24">
        <f t="shared" ca="1" si="93"/>
        <v>0</v>
      </c>
      <c r="AU89" s="24">
        <f t="shared" ca="1" si="93"/>
        <v>0</v>
      </c>
      <c r="AV89" s="24">
        <f t="shared" ca="1" si="93"/>
        <v>0</v>
      </c>
      <c r="AW89" s="24">
        <f t="shared" ca="1" si="93"/>
        <v>0</v>
      </c>
      <c r="AX89" s="24">
        <f t="shared" ca="1" si="93"/>
        <v>0</v>
      </c>
      <c r="AY89" s="24">
        <f t="shared" ca="1" si="93"/>
        <v>0</v>
      </c>
      <c r="AZ89" s="24">
        <f t="shared" ca="1" si="93"/>
        <v>0</v>
      </c>
      <c r="BA89" s="24">
        <f t="shared" ca="1" si="93"/>
        <v>0</v>
      </c>
      <c r="BB89" s="8" t="s">
        <v>75</v>
      </c>
    </row>
    <row r="90" spans="1:57" x14ac:dyDescent="0.2">
      <c r="B90" s="19" t="str">
        <f>+'Contract CF'!B50</f>
        <v>Sodru South</v>
      </c>
      <c r="C90" s="45" t="s">
        <v>164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R90" s="25"/>
      <c r="S90" s="25"/>
      <c r="T90" s="25"/>
      <c r="U90" s="25"/>
      <c r="V90" s="46">
        <f ca="1">+SUMIFS('Contract CF'!50:50,'Contract CF'!$3:$3,V$6)*V$12/V$9</f>
        <v>0</v>
      </c>
      <c r="W90" s="46">
        <f ca="1">+SUMIFS('Contract CF'!50:50,'Contract CF'!$3:$3,W$6)*W$12/W$9</f>
        <v>0</v>
      </c>
      <c r="X90" s="46">
        <f ca="1">+SUMIFS('Contract CF'!50:50,'Contract CF'!$3:$3,X$6)*X$12/X$9</f>
        <v>0</v>
      </c>
      <c r="Y90" s="46">
        <f ca="1">+SUMIFS('Contract CF'!50:50,'Contract CF'!$3:$3,Y$6)*Y$12/Y$9</f>
        <v>0</v>
      </c>
      <c r="Z90" s="46">
        <f ca="1">+SUMIFS('Contract CF'!50:50,'Contract CF'!$3:$3,Z$6)*Z$12/Z$9</f>
        <v>0</v>
      </c>
      <c r="AA90" s="46">
        <f ca="1">+SUMIFS('Contract CF'!50:50,'Contract CF'!$3:$3,AA$6)*AA$12/AA$9</f>
        <v>0</v>
      </c>
      <c r="AB90" s="46">
        <f ca="1">+SUMIFS('Contract CF'!50:50,'Contract CF'!$3:$3,AB$6)*AB$12/AB$9</f>
        <v>0</v>
      </c>
      <c r="AC90" s="46">
        <f ca="1">+SUMIFS('Contract CF'!50:50,'Contract CF'!$3:$3,AC$6)*AC$12/AC$9</f>
        <v>0</v>
      </c>
      <c r="AD90" s="46">
        <f ca="1">+SUMIFS('Contract CF'!50:50,'Contract CF'!$3:$3,AD$6)*AD$12/AD$9</f>
        <v>0</v>
      </c>
      <c r="AE90" s="46">
        <f ca="1">+SUMIFS('Contract CF'!50:50,'Contract CF'!$3:$3,AE$6)*AE$12/AE$9</f>
        <v>0</v>
      </c>
      <c r="AF90" s="46">
        <f ca="1">+SUMIFS('Contract CF'!50:50,'Contract CF'!$3:$3,AF$6)*AF$12/AF$9</f>
        <v>0</v>
      </c>
      <c r="AG90" s="46">
        <f ca="1">+SUMIFS('Contract CF'!50:50,'Contract CF'!$3:$3,AG$6)*AG$12/AG$9</f>
        <v>0</v>
      </c>
      <c r="AH90" s="46">
        <f ca="1">+SUMIFS('Contract CF'!50:50,'Contract CF'!$3:$3,AH$6)*AH$12/AH$9</f>
        <v>0</v>
      </c>
      <c r="AI90" s="46">
        <f ca="1">+SUMIFS('Contract CF'!50:50,'Contract CF'!$3:$3,AI$6)*AI$12/AI$9</f>
        <v>0</v>
      </c>
      <c r="AJ90" s="46">
        <f ca="1">+SUMIFS('Contract CF'!50:50,'Contract CF'!$3:$3,AJ$6)*AJ$12/AJ$9</f>
        <v>0</v>
      </c>
      <c r="AK90" s="46">
        <f ca="1">+SUMIFS('Contract CF'!50:50,'Contract CF'!$3:$3,AK$6)*AK$12/AK$9</f>
        <v>0</v>
      </c>
      <c r="AL90" s="46">
        <f ca="1">+SUMIFS('Contract CF'!50:50,'Contract CF'!$3:$3,AL$6)*AL$12/AL$9</f>
        <v>0</v>
      </c>
      <c r="AM90" s="46">
        <f ca="1">+SUMIFS('Contract CF'!50:50,'Contract CF'!$3:$3,AM$6)*AM$12/AM$9</f>
        <v>0</v>
      </c>
      <c r="AN90" s="46">
        <f ca="1">+SUMIFS('Contract CF'!50:50,'Contract CF'!$3:$3,AN$6)*AN$12/AN$9</f>
        <v>0</v>
      </c>
      <c r="AO90" s="46">
        <f ca="1">+SUMIFS('Contract CF'!50:50,'Contract CF'!$3:$3,AO$6)*AO$12/AO$9</f>
        <v>0</v>
      </c>
      <c r="AP90" s="46">
        <f ca="1">+SUMIFS('Contract CF'!50:50,'Contract CF'!$3:$3,AP$6)*AP$12/AP$9</f>
        <v>0</v>
      </c>
      <c r="AQ90" s="46">
        <f ca="1">+SUMIFS('Contract CF'!50:50,'Contract CF'!$3:$3,AQ$6)*AQ$12/AQ$9</f>
        <v>0</v>
      </c>
      <c r="AR90" s="46">
        <f ca="1">+SUMIFS('Contract CF'!50:50,'Contract CF'!$3:$3,AR$6)*AR$12/AR$9</f>
        <v>0</v>
      </c>
      <c r="AS90" s="46">
        <f ca="1">+SUMIFS('Contract CF'!50:50,'Contract CF'!$3:$3,AS$6)*AS$12/AS$9</f>
        <v>0</v>
      </c>
      <c r="AT90" s="46">
        <f ca="1">+SUMIFS('Contract CF'!50:50,'Contract CF'!$3:$3,AT$6)*AT$12/AT$9</f>
        <v>0</v>
      </c>
      <c r="AU90" s="46">
        <f ca="1">+SUMIFS('Contract CF'!50:50,'Contract CF'!$3:$3,AU$6)*AU$12/AU$9</f>
        <v>0</v>
      </c>
      <c r="AV90" s="46">
        <f ca="1">+SUMIFS('Contract CF'!50:50,'Contract CF'!$3:$3,AV$6)*AV$12/AV$9</f>
        <v>0</v>
      </c>
      <c r="AW90" s="46">
        <f ca="1">+SUMIFS('Contract CF'!50:50,'Contract CF'!$3:$3,AW$6)*AW$12/AW$9</f>
        <v>0</v>
      </c>
      <c r="AX90" s="46">
        <f ca="1">+SUMIFS('Contract CF'!50:50,'Contract CF'!$3:$3,AX$6)*AX$12/AX$9</f>
        <v>0</v>
      </c>
      <c r="AY90" s="46">
        <f ca="1">+SUMIFS('Contract CF'!50:50,'Contract CF'!$3:$3,AY$6)*AY$12/AY$9</f>
        <v>0</v>
      </c>
      <c r="AZ90" s="46">
        <f ca="1">+SUMIFS('Contract CF'!50:50,'Contract CF'!$3:$3,AZ$6)*AZ$12/AZ$9</f>
        <v>0</v>
      </c>
      <c r="BA90" s="46">
        <f ca="1">+SUMIFS('Contract CF'!50:50,'Contract CF'!$3:$3,BA$6)*BA$12/BA$9</f>
        <v>0</v>
      </c>
      <c r="BB90" s="8" t="s">
        <v>75</v>
      </c>
    </row>
    <row r="91" spans="1:57" x14ac:dyDescent="0.2">
      <c r="B91" s="19" t="str">
        <f>+'Contract CF'!B51</f>
        <v>COFCO South</v>
      </c>
      <c r="C91" s="45" t="s">
        <v>164</v>
      </c>
      <c r="E91" s="11"/>
      <c r="F91" s="11"/>
      <c r="G91" s="11"/>
      <c r="H91" s="11"/>
      <c r="I91" s="11"/>
      <c r="J91" s="11"/>
      <c r="K91" s="11"/>
      <c r="L91" s="11"/>
      <c r="M91" s="11"/>
      <c r="N91" s="11"/>
      <c r="R91" s="25"/>
      <c r="S91" s="25"/>
      <c r="T91" s="25"/>
      <c r="U91" s="25"/>
      <c r="V91" s="46">
        <f ca="1">+SUMIFS('Contract CF'!51:51,'Contract CF'!$3:$3,V$6)*V$12/V$9</f>
        <v>12.872018304909895</v>
      </c>
      <c r="W91" s="46">
        <f ca="1">+SUMIFS('Contract CF'!51:51,'Contract CF'!$3:$3,W$6)*W$12/W$9</f>
        <v>13.060511447123778</v>
      </c>
      <c r="X91" s="46">
        <f ca="1">+SUMIFS('Contract CF'!51:51,'Contract CF'!$3:$3,X$6)*X$12/X$9</f>
        <v>12.98762340881083</v>
      </c>
      <c r="Y91" s="46">
        <f ca="1">+SUMIFS('Contract CF'!51:51,'Contract CF'!$3:$3,Y$6)*Y$12/Y$9</f>
        <v>8.9533397204274081</v>
      </c>
      <c r="Z91" s="46">
        <f ca="1">+SUMIFS('Contract CF'!51:51,'Contract CF'!$3:$3,Z$6)*Z$12/Z$9</f>
        <v>7.0052668775894231</v>
      </c>
      <c r="AA91" s="46">
        <f ca="1">+SUMIFS('Contract CF'!51:51,'Contract CF'!$3:$3,AA$6)*AA$12/AA$9</f>
        <v>6.8951962138373064</v>
      </c>
      <c r="AB91" s="46">
        <f ca="1">+SUMIFS('Contract CF'!51:51,'Contract CF'!$3:$3,AB$6)*AB$12/AB$9</f>
        <v>6.9644235094062887</v>
      </c>
      <c r="AC91" s="46">
        <f ca="1">+SUMIFS('Contract CF'!51:51,'Contract CF'!$3:$3,AC$6)*AC$12/AC$9</f>
        <v>6.8190801318447045</v>
      </c>
      <c r="AD91" s="46">
        <f ca="1">+SUMIFS('Contract CF'!51:51,'Contract CF'!$3:$3,AD$6)*AD$12/AD$9</f>
        <v>2.1623761460938464</v>
      </c>
      <c r="AE91" s="46">
        <f ca="1">+SUMIFS('Contract CF'!51:51,'Contract CF'!$3:$3,AE$6)*AE$12/AE$9</f>
        <v>2.304283347373167</v>
      </c>
      <c r="AF91" s="46">
        <f ca="1">+SUMIFS('Contract CF'!51:51,'Contract CF'!$3:$3,AF$6)*AF$12/AF$9</f>
        <v>2.3115109015187127</v>
      </c>
      <c r="AG91" s="46">
        <f ca="1">+SUMIFS('Contract CF'!51:51,'Contract CF'!$3:$3,AG$6)*AG$12/AG$9</f>
        <v>1.9439576266422673</v>
      </c>
      <c r="AH91" s="46">
        <f ca="1">+SUMIFS('Contract CF'!51:51,'Contract CF'!$3:$3,AH$6)*AH$12/AH$9</f>
        <v>2.0956244140400382</v>
      </c>
      <c r="AI91" s="46">
        <f ca="1">+SUMIFS('Contract CF'!51:51,'Contract CF'!$3:$3,AI$6)*AI$12/AI$9</f>
        <v>2.3267614399417158</v>
      </c>
      <c r="AJ91" s="46">
        <f ca="1">+SUMIFS('Contract CF'!51:51,'Contract CF'!$3:$3,AJ$6)*AJ$12/AJ$9</f>
        <v>2.3340594982773446</v>
      </c>
      <c r="AK91" s="46">
        <f ca="1">+SUMIFS('Contract CF'!51:51,'Contract CF'!$3:$3,AK$6)*AK$12/AK$9</f>
        <v>1.962920771748017</v>
      </c>
      <c r="AL91" s="46">
        <f ca="1">+SUMIFS('Contract CF'!51:51,'Contract CF'!$3:$3,AL$6)*AL$12/AL$9</f>
        <v>2.1160670560534007</v>
      </c>
      <c r="AM91" s="46">
        <f ca="1">+SUMIFS('Contract CF'!51:51,'Contract CF'!$3:$3,AM$6)*AM$12/AM$9</f>
        <v>2.3494588044353493</v>
      </c>
      <c r="AN91" s="46">
        <f ca="1">+SUMIFS('Contract CF'!51:51,'Contract CF'!$3:$3,AN$6)*AN$12/AN$9</f>
        <v>2.3568280547235765</v>
      </c>
      <c r="AO91" s="46">
        <f ca="1">+SUMIFS('Contract CF'!51:51,'Contract CF'!$3:$3,AO$6)*AO$12/AO$9</f>
        <v>1.982068900758444</v>
      </c>
      <c r="AP91" s="46">
        <f ca="1">+SUMIFS('Contract CF'!51:51,'Contract CF'!$3:$3,AP$6)*AP$12/AP$9</f>
        <v>0</v>
      </c>
      <c r="AQ91" s="46">
        <f ca="1">+SUMIFS('Contract CF'!51:51,'Contract CF'!$3:$3,AQ$6)*AQ$12/AQ$9</f>
        <v>0</v>
      </c>
      <c r="AR91" s="46">
        <f ca="1">+SUMIFS('Contract CF'!51:51,'Contract CF'!$3:$3,AR$6)*AR$12/AR$9</f>
        <v>0</v>
      </c>
      <c r="AS91" s="46">
        <f ca="1">+SUMIFS('Contract CF'!51:51,'Contract CF'!$3:$3,AS$6)*AS$12/AS$9</f>
        <v>0</v>
      </c>
      <c r="AT91" s="46">
        <f ca="1">+SUMIFS('Contract CF'!51:51,'Contract CF'!$3:$3,AT$6)*AT$12/AT$9</f>
        <v>0</v>
      </c>
      <c r="AU91" s="46">
        <f ca="1">+SUMIFS('Contract CF'!51:51,'Contract CF'!$3:$3,AU$6)*AU$12/AU$9</f>
        <v>0</v>
      </c>
      <c r="AV91" s="46">
        <f ca="1">+SUMIFS('Contract CF'!51:51,'Contract CF'!$3:$3,AV$6)*AV$12/AV$9</f>
        <v>0</v>
      </c>
      <c r="AW91" s="46">
        <f ca="1">+SUMIFS('Contract CF'!51:51,'Contract CF'!$3:$3,AW$6)*AW$12/AW$9</f>
        <v>0</v>
      </c>
      <c r="AX91" s="46">
        <f ca="1">+SUMIFS('Contract CF'!51:51,'Contract CF'!$3:$3,AX$6)*AX$12/AX$9</f>
        <v>0</v>
      </c>
      <c r="AY91" s="46">
        <f ca="1">+SUMIFS('Contract CF'!51:51,'Contract CF'!$3:$3,AY$6)*AY$12/AY$9</f>
        <v>0</v>
      </c>
      <c r="AZ91" s="46">
        <f ca="1">+SUMIFS('Contract CF'!51:51,'Contract CF'!$3:$3,AZ$6)*AZ$12/AZ$9</f>
        <v>0</v>
      </c>
      <c r="BA91" s="46">
        <f ca="1">+SUMIFS('Contract CF'!51:51,'Contract CF'!$3:$3,BA$6)*BA$12/BA$9</f>
        <v>0</v>
      </c>
      <c r="BB91" s="8" t="s">
        <v>75</v>
      </c>
    </row>
    <row r="92" spans="1:57" x14ac:dyDescent="0.2">
      <c r="B92" s="19"/>
      <c r="E92" s="11"/>
      <c r="F92" s="11"/>
      <c r="G92" s="11"/>
      <c r="H92" s="11"/>
      <c r="I92" s="11"/>
      <c r="J92" s="11"/>
      <c r="K92" s="11"/>
      <c r="L92" s="11"/>
      <c r="M92" s="11"/>
      <c r="N92" s="11"/>
      <c r="R92" s="25"/>
      <c r="S92" s="25"/>
      <c r="T92" s="25"/>
      <c r="U92" s="25"/>
      <c r="V92" s="23"/>
      <c r="W92" s="23"/>
      <c r="X92" s="23"/>
      <c r="Y92" s="23"/>
      <c r="Z92" s="23"/>
      <c r="AA92" s="23"/>
      <c r="AB92" s="23"/>
      <c r="AC92" s="23"/>
      <c r="AD92" s="39"/>
      <c r="BB92" s="8" t="s">
        <v>75</v>
      </c>
    </row>
    <row r="93" spans="1:57" s="2" customFormat="1" x14ac:dyDescent="0.2">
      <c r="B93" s="2" t="s">
        <v>299</v>
      </c>
      <c r="C93" s="81" t="s">
        <v>201</v>
      </c>
      <c r="E93" s="13"/>
      <c r="F93" s="13"/>
      <c r="G93" s="13"/>
      <c r="H93" s="13"/>
      <c r="I93" s="13"/>
      <c r="J93" s="13"/>
      <c r="K93" s="13"/>
      <c r="L93" s="13"/>
      <c r="M93" s="13"/>
      <c r="N93" s="13"/>
      <c r="R93" s="32"/>
      <c r="S93" s="32"/>
      <c r="T93" s="32"/>
      <c r="U93" s="32"/>
      <c r="V93" s="24">
        <f t="shared" ref="V93:AC93" ca="1" si="94">+SUM(V90:V91)/V85*V22</f>
        <v>554.3493697555482</v>
      </c>
      <c r="W93" s="24">
        <f t="shared" ca="1" si="94"/>
        <v>469.82920998865097</v>
      </c>
      <c r="X93" s="24">
        <f t="shared" ca="1" si="94"/>
        <v>556.14032677328066</v>
      </c>
      <c r="Y93" s="24">
        <f t="shared" ca="1" si="94"/>
        <v>337.25715875417609</v>
      </c>
      <c r="Z93" s="24">
        <f t="shared" ca="1" si="94"/>
        <v>382.18399975007395</v>
      </c>
      <c r="AA93" s="24">
        <f t="shared" ca="1" si="94"/>
        <v>387.91087672097478</v>
      </c>
      <c r="AB93" s="24">
        <f t="shared" ca="1" si="94"/>
        <v>403.35915318601013</v>
      </c>
      <c r="AC93" s="24">
        <f t="shared" ca="1" si="94"/>
        <v>345.18044267508162</v>
      </c>
      <c r="AD93" s="114">
        <f t="shared" ref="AD93:BA93" ca="1" si="95">+AD94*AD22</f>
        <v>123.63017289776421</v>
      </c>
      <c r="AE93" s="24">
        <f t="shared" ca="1" si="95"/>
        <v>118.13329019040846</v>
      </c>
      <c r="AF93" s="24">
        <f t="shared" ca="1" si="95"/>
        <v>122.73024830118034</v>
      </c>
      <c r="AG93" s="24">
        <f t="shared" ca="1" si="95"/>
        <v>90.409297173291606</v>
      </c>
      <c r="AH93" s="24">
        <f t="shared" ca="1" si="95"/>
        <v>122.44142123528574</v>
      </c>
      <c r="AI93" s="24">
        <f t="shared" ca="1" si="95"/>
        <v>116.99739316934682</v>
      </c>
      <c r="AJ93" s="24">
        <f t="shared" ca="1" si="95"/>
        <v>121.55014975982289</v>
      </c>
      <c r="AK93" s="24">
        <f t="shared" ca="1" si="95"/>
        <v>89.539977008163817</v>
      </c>
      <c r="AL93" s="24">
        <f t="shared" ca="1" si="95"/>
        <v>121.26409987725418</v>
      </c>
      <c r="AM93" s="24">
        <f t="shared" ca="1" si="95"/>
        <v>115.87241823502617</v>
      </c>
      <c r="AN93" s="24">
        <f t="shared" ca="1" si="95"/>
        <v>120.38139831982456</v>
      </c>
      <c r="AO93" s="24">
        <f t="shared" ca="1" si="95"/>
        <v>88.679015690777604</v>
      </c>
      <c r="AP93" s="24">
        <f t="shared" ca="1" si="95"/>
        <v>0</v>
      </c>
      <c r="AQ93" s="24">
        <f t="shared" ca="1" si="95"/>
        <v>0</v>
      </c>
      <c r="AR93" s="24">
        <f t="shared" ca="1" si="95"/>
        <v>0</v>
      </c>
      <c r="AS93" s="24">
        <f t="shared" ca="1" si="95"/>
        <v>0</v>
      </c>
      <c r="AT93" s="24">
        <f t="shared" ca="1" si="95"/>
        <v>0</v>
      </c>
      <c r="AU93" s="24">
        <f t="shared" ca="1" si="95"/>
        <v>0</v>
      </c>
      <c r="AV93" s="24">
        <f t="shared" ca="1" si="95"/>
        <v>0</v>
      </c>
      <c r="AW93" s="24">
        <f t="shared" ca="1" si="95"/>
        <v>0</v>
      </c>
      <c r="AX93" s="24">
        <f t="shared" ca="1" si="95"/>
        <v>0</v>
      </c>
      <c r="AY93" s="24">
        <f t="shared" ca="1" si="95"/>
        <v>0</v>
      </c>
      <c r="AZ93" s="24">
        <f t="shared" ca="1" si="95"/>
        <v>0</v>
      </c>
      <c r="BA93" s="24">
        <f t="shared" ca="1" si="95"/>
        <v>0</v>
      </c>
      <c r="BB93" s="8" t="s">
        <v>75</v>
      </c>
    </row>
    <row r="94" spans="1:57" x14ac:dyDescent="0.2">
      <c r="B94" s="26" t="s">
        <v>239</v>
      </c>
      <c r="C94" s="45" t="s">
        <v>177</v>
      </c>
      <c r="D94" s="274">
        <v>1</v>
      </c>
      <c r="E94" s="11"/>
      <c r="F94" s="11"/>
      <c r="G94" s="92"/>
      <c r="H94" s="92"/>
      <c r="I94" s="92"/>
      <c r="J94" s="92"/>
      <c r="K94" s="92"/>
      <c r="L94" s="92"/>
      <c r="M94" s="92"/>
      <c r="N94" s="92"/>
      <c r="P94" s="97"/>
      <c r="R94" s="25"/>
      <c r="S94" s="25"/>
      <c r="T94" s="25"/>
      <c r="U94" s="25"/>
      <c r="V94" s="30">
        <f t="shared" ref="V94:AC94" ca="1" si="96">+V93/V22</f>
        <v>1.1644504201592241</v>
      </c>
      <c r="W94" s="30">
        <f t="shared" ca="1" si="96"/>
        <v>0.95455501268515397</v>
      </c>
      <c r="X94" s="30">
        <f t="shared" ca="1" si="96"/>
        <v>1.0382728803469332</v>
      </c>
      <c r="Y94" s="30">
        <f t="shared" ca="1" si="96"/>
        <v>1.3396440086239327</v>
      </c>
      <c r="Z94" s="30">
        <f t="shared" ca="1" si="96"/>
        <v>1.1483446096901608</v>
      </c>
      <c r="AA94" s="30">
        <f t="shared" ca="1" si="96"/>
        <v>0.93051406253493929</v>
      </c>
      <c r="AB94" s="30">
        <f t="shared" ca="1" si="96"/>
        <v>1.103553315311264</v>
      </c>
      <c r="AC94" s="30">
        <f t="shared" ca="1" si="96"/>
        <v>1.6221834609086159</v>
      </c>
      <c r="AD94" s="111">
        <f t="shared" ref="AD94:BA94" ca="1" si="97">+MIN((SUM(AD90:AD91)*1000/AD83)/(AD22),$D94)</f>
        <v>0.35378133179194232</v>
      </c>
      <c r="AE94" s="30">
        <f t="shared" ca="1" si="97"/>
        <v>0.26988204022260492</v>
      </c>
      <c r="AF94" s="30">
        <f t="shared" ca="1" si="97"/>
        <v>0.31978914438658018</v>
      </c>
      <c r="AG94" s="30">
        <f t="shared" ca="1" si="97"/>
        <v>0.40464817114835988</v>
      </c>
      <c r="AH94" s="30">
        <f t="shared" ca="1" si="97"/>
        <v>0.33369484592097132</v>
      </c>
      <c r="AI94" s="30">
        <f t="shared" ca="1" si="97"/>
        <v>0.2545590672429332</v>
      </c>
      <c r="AJ94" s="30">
        <f t="shared" ca="1" si="97"/>
        <v>0.30163261787378909</v>
      </c>
      <c r="AK94" s="30">
        <f t="shared" ca="1" si="97"/>
        <v>0.38167364128462522</v>
      </c>
      <c r="AL94" s="30">
        <f t="shared" ca="1" si="97"/>
        <v>0.32242560159343392</v>
      </c>
      <c r="AM94" s="30">
        <f t="shared" ca="1" si="97"/>
        <v>0.24596232576005739</v>
      </c>
      <c r="AN94" s="30">
        <f t="shared" ca="1" si="97"/>
        <v>0.29144615047842654</v>
      </c>
      <c r="AO94" s="30">
        <f t="shared" ca="1" si="97"/>
        <v>0.36878409992792111</v>
      </c>
      <c r="AP94" s="30">
        <f t="shared" ca="1" si="97"/>
        <v>0</v>
      </c>
      <c r="AQ94" s="30">
        <f t="shared" ca="1" si="97"/>
        <v>0</v>
      </c>
      <c r="AR94" s="30">
        <f t="shared" ca="1" si="97"/>
        <v>0</v>
      </c>
      <c r="AS94" s="30">
        <f t="shared" ca="1" si="97"/>
        <v>0</v>
      </c>
      <c r="AT94" s="30">
        <f t="shared" ca="1" si="97"/>
        <v>0</v>
      </c>
      <c r="AU94" s="30">
        <f t="shared" ca="1" si="97"/>
        <v>0</v>
      </c>
      <c r="AV94" s="30">
        <f t="shared" ca="1" si="97"/>
        <v>0</v>
      </c>
      <c r="AW94" s="30">
        <f t="shared" ca="1" si="97"/>
        <v>0</v>
      </c>
      <c r="AX94" s="30">
        <f t="shared" ca="1" si="97"/>
        <v>0</v>
      </c>
      <c r="AY94" s="30">
        <f t="shared" ca="1" si="97"/>
        <v>0</v>
      </c>
      <c r="AZ94" s="30">
        <f t="shared" ca="1" si="97"/>
        <v>0</v>
      </c>
      <c r="BA94" s="30">
        <f t="shared" ca="1" si="97"/>
        <v>0</v>
      </c>
      <c r="BB94" s="8" t="s">
        <v>75</v>
      </c>
    </row>
    <row r="95" spans="1:57" s="2" customFormat="1" x14ac:dyDescent="0.2">
      <c r="C95" s="81"/>
      <c r="E95" s="13"/>
      <c r="F95" s="13"/>
      <c r="G95" s="13"/>
      <c r="H95" s="13"/>
      <c r="I95" s="13"/>
      <c r="J95" s="13"/>
      <c r="K95" s="13"/>
      <c r="L95" s="13"/>
      <c r="M95" s="13"/>
      <c r="N95" s="13"/>
      <c r="R95" s="32"/>
      <c r="S95" s="32"/>
      <c r="T95" s="32"/>
      <c r="U95" s="32"/>
      <c r="V95" s="24"/>
      <c r="W95" s="24"/>
      <c r="X95" s="24"/>
      <c r="Y95" s="24"/>
      <c r="Z95" s="24"/>
      <c r="AA95" s="24"/>
      <c r="AB95" s="24"/>
      <c r="AC95" s="24"/>
      <c r="AD95" s="283"/>
      <c r="BB95" s="8" t="s">
        <v>75</v>
      </c>
    </row>
    <row r="96" spans="1:57" x14ac:dyDescent="0.2">
      <c r="B96" s="2" t="s">
        <v>578</v>
      </c>
      <c r="C96" s="45" t="s">
        <v>164</v>
      </c>
      <c r="D96" s="19"/>
      <c r="E96" s="11"/>
      <c r="F96" s="11"/>
      <c r="G96" s="92"/>
      <c r="H96" s="92"/>
      <c r="I96" s="92"/>
      <c r="J96" s="92"/>
      <c r="K96" s="92"/>
      <c r="L96" s="92"/>
      <c r="M96" s="92"/>
      <c r="N96" s="92"/>
      <c r="P96" s="97"/>
      <c r="R96" s="25"/>
      <c r="S96" s="25"/>
      <c r="T96" s="25"/>
      <c r="U96" s="25"/>
      <c r="V96" s="24">
        <f ca="1">+MAX(V85-V89,0)</f>
        <v>0</v>
      </c>
      <c r="W96" s="24">
        <f t="shared" ref="W96:AC96" ca="1" si="98">+MAX(W85-W89,0)</f>
        <v>0.62179211166712456</v>
      </c>
      <c r="X96" s="24">
        <f t="shared" ca="1" si="98"/>
        <v>0</v>
      </c>
      <c r="Y96" s="24">
        <f t="shared" ca="1" si="98"/>
        <v>0</v>
      </c>
      <c r="Z96" s="24">
        <f t="shared" ca="1" si="98"/>
        <v>0</v>
      </c>
      <c r="AA96" s="24">
        <f t="shared" ca="1" si="98"/>
        <v>0.51489729410299212</v>
      </c>
      <c r="AB96" s="24">
        <f t="shared" ca="1" si="98"/>
        <v>0</v>
      </c>
      <c r="AC96" s="24">
        <f t="shared" ca="1" si="98"/>
        <v>0</v>
      </c>
      <c r="AD96" s="114">
        <f t="shared" ref="AD96:BA96" ca="1" si="99">+AD97*AD83/1000</f>
        <v>3.9498065831111324</v>
      </c>
      <c r="AE96" s="24">
        <f t="shared" ca="1" si="99"/>
        <v>6.2338296203239096</v>
      </c>
      <c r="AF96" s="24">
        <f t="shared" ca="1" si="99"/>
        <v>4.916723521362198</v>
      </c>
      <c r="AG96" s="24">
        <f t="shared" ca="1" si="99"/>
        <v>2.8601111057715416</v>
      </c>
      <c r="AH96" s="24">
        <f t="shared" ca="1" si="99"/>
        <v>4.1844378633867558</v>
      </c>
      <c r="AI96" s="24">
        <f t="shared" ca="1" si="99"/>
        <v>6.8135982618056943</v>
      </c>
      <c r="AJ96" s="24">
        <f t="shared" ca="1" si="99"/>
        <v>5.4040276977631567</v>
      </c>
      <c r="AK96" s="24">
        <f t="shared" ca="1" si="99"/>
        <v>3.1800091019034085</v>
      </c>
      <c r="AL96" s="24">
        <f t="shared" ca="1" si="99"/>
        <v>4.4468952074757802</v>
      </c>
      <c r="AM96" s="24">
        <f t="shared" ca="1" si="99"/>
        <v>7.2026496218254543</v>
      </c>
      <c r="AN96" s="24">
        <f t="shared" ca="1" si="99"/>
        <v>5.7298392450664544</v>
      </c>
      <c r="AO96" s="24">
        <f t="shared" ca="1" si="99"/>
        <v>3.3925361897154658</v>
      </c>
      <c r="AP96" s="24">
        <f t="shared" ca="1" si="99"/>
        <v>6.8586061363322495</v>
      </c>
      <c r="AQ96" s="24">
        <f t="shared" ca="1" si="99"/>
        <v>9.9824053280528275</v>
      </c>
      <c r="AR96" s="24">
        <f t="shared" ca="1" si="99"/>
        <v>8.4509500036333112</v>
      </c>
      <c r="AS96" s="24">
        <f t="shared" ca="1" si="99"/>
        <v>5.6167166553330894</v>
      </c>
      <c r="AT96" s="24">
        <f t="shared" ca="1" si="99"/>
        <v>7.1675679738007094</v>
      </c>
      <c r="AU96" s="24">
        <f t="shared" ca="1" si="99"/>
        <v>10.432085952833459</v>
      </c>
      <c r="AV96" s="24">
        <f t="shared" ca="1" si="99"/>
        <v>8.8316426676492892</v>
      </c>
      <c r="AW96" s="24">
        <f t="shared" ca="1" si="99"/>
        <v>5.8697346977570017</v>
      </c>
      <c r="AX96" s="24">
        <f t="shared" ca="1" si="99"/>
        <v>7.4904477145740742</v>
      </c>
      <c r="AY96" s="24">
        <f t="shared" ca="1" si="99"/>
        <v>10.90202348540913</v>
      </c>
      <c r="AZ96" s="24">
        <f t="shared" ca="1" si="99"/>
        <v>9.2294845165939741</v>
      </c>
      <c r="BA96" s="24">
        <f t="shared" ca="1" si="99"/>
        <v>6.1341505253498063</v>
      </c>
      <c r="BB96" s="8" t="s">
        <v>75</v>
      </c>
    </row>
    <row r="97" spans="1:57" s="2" customFormat="1" x14ac:dyDescent="0.2">
      <c r="B97" s="2" t="s">
        <v>300</v>
      </c>
      <c r="C97" s="81" t="s">
        <v>201</v>
      </c>
      <c r="D97" s="18"/>
      <c r="E97" s="13"/>
      <c r="F97" s="13"/>
      <c r="G97" s="112"/>
      <c r="H97" s="112"/>
      <c r="I97" s="112"/>
      <c r="J97" s="112"/>
      <c r="K97" s="112"/>
      <c r="L97" s="112"/>
      <c r="M97" s="112"/>
      <c r="N97" s="112"/>
      <c r="P97" s="131"/>
      <c r="R97" s="32"/>
      <c r="S97" s="32"/>
      <c r="T97" s="32"/>
      <c r="U97" s="32"/>
      <c r="V97" s="24">
        <f t="shared" ref="V97:BA97" ca="1" si="100">+MAX(V22-V93,0)</f>
        <v>0</v>
      </c>
      <c r="W97" s="24">
        <f t="shared" ca="1" si="100"/>
        <v>22.367891011349002</v>
      </c>
      <c r="X97" s="24">
        <f t="shared" ca="1" si="100"/>
        <v>0</v>
      </c>
      <c r="Y97" s="24">
        <f t="shared" ca="1" si="100"/>
        <v>0</v>
      </c>
      <c r="Z97" s="24">
        <f t="shared" ca="1" si="100"/>
        <v>0</v>
      </c>
      <c r="AA97" s="24">
        <f t="shared" ca="1" si="100"/>
        <v>28.96716127902522</v>
      </c>
      <c r="AB97" s="24">
        <f t="shared" ca="1" si="100"/>
        <v>0</v>
      </c>
      <c r="AC97" s="24">
        <f t="shared" ca="1" si="100"/>
        <v>0</v>
      </c>
      <c r="AD97" s="24">
        <f t="shared" ca="1" si="100"/>
        <v>225.82346353795003</v>
      </c>
      <c r="AE97" s="24">
        <f t="shared" ca="1" si="100"/>
        <v>319.58864970959155</v>
      </c>
      <c r="AF97" s="24">
        <f t="shared" ca="1" si="100"/>
        <v>261.0546626488196</v>
      </c>
      <c r="AG97" s="24">
        <f t="shared" ca="1" si="100"/>
        <v>133.01762927670836</v>
      </c>
      <c r="AH97" s="24">
        <f t="shared" ca="1" si="100"/>
        <v>244.48489702221423</v>
      </c>
      <c r="AI97" s="24">
        <f t="shared" ca="1" si="100"/>
        <v>342.61064372565318</v>
      </c>
      <c r="AJ97" s="24">
        <f t="shared" ca="1" si="100"/>
        <v>281.42400673767708</v>
      </c>
      <c r="AK97" s="24">
        <f t="shared" ca="1" si="100"/>
        <v>145.05829576433615</v>
      </c>
      <c r="AL97" s="24">
        <f t="shared" ca="1" si="100"/>
        <v>254.83537633668328</v>
      </c>
      <c r="AM97" s="24">
        <f t="shared" ca="1" si="100"/>
        <v>355.22581958234878</v>
      </c>
      <c r="AN97" s="24">
        <f t="shared" ca="1" si="100"/>
        <v>292.66711209011288</v>
      </c>
      <c r="AO97" s="24">
        <f t="shared" ca="1" si="100"/>
        <v>151.78421390103483</v>
      </c>
      <c r="AP97" s="24">
        <f t="shared" ca="1" si="100"/>
        <v>385.50196311928585</v>
      </c>
      <c r="AQ97" s="24">
        <f t="shared" ca="1" si="100"/>
        <v>482.87569376280931</v>
      </c>
      <c r="AR97" s="24">
        <f t="shared" ca="1" si="100"/>
        <v>423.3747231701858</v>
      </c>
      <c r="AS97" s="24">
        <f t="shared" ca="1" si="100"/>
        <v>246.47481033160773</v>
      </c>
      <c r="AT97" s="24">
        <f t="shared" ca="1" si="100"/>
        <v>395.13951219726795</v>
      </c>
      <c r="AU97" s="24">
        <f t="shared" ca="1" si="100"/>
        <v>494.9475861068795</v>
      </c>
      <c r="AV97" s="24">
        <f t="shared" ca="1" si="100"/>
        <v>433.95909124944041</v>
      </c>
      <c r="AW97" s="24">
        <f t="shared" ca="1" si="100"/>
        <v>252.63668058989791</v>
      </c>
      <c r="AX97" s="24">
        <f t="shared" ca="1" si="100"/>
        <v>405.01800000219959</v>
      </c>
      <c r="AY97" s="24">
        <f t="shared" ca="1" si="100"/>
        <v>507.32127575955144</v>
      </c>
      <c r="AZ97" s="24">
        <f t="shared" ca="1" si="100"/>
        <v>444.80806853067639</v>
      </c>
      <c r="BA97" s="24">
        <f t="shared" ca="1" si="100"/>
        <v>258.95259760464535</v>
      </c>
      <c r="BB97" s="8" t="s">
        <v>75</v>
      </c>
    </row>
    <row r="98" spans="1:57" s="2" customFormat="1" x14ac:dyDescent="0.2">
      <c r="C98" s="81"/>
      <c r="E98" s="13"/>
      <c r="F98" s="13"/>
      <c r="G98" s="13"/>
      <c r="H98" s="13"/>
      <c r="I98" s="13"/>
      <c r="J98" s="13"/>
      <c r="K98" s="13"/>
      <c r="L98" s="13"/>
      <c r="M98" s="13"/>
      <c r="N98" s="13"/>
      <c r="R98" s="32"/>
      <c r="S98" s="32"/>
      <c r="T98" s="32"/>
      <c r="U98" s="32"/>
      <c r="V98" s="24"/>
      <c r="W98" s="24"/>
      <c r="X98" s="24"/>
      <c r="Y98" s="24"/>
      <c r="Z98" s="24"/>
      <c r="AA98" s="24"/>
      <c r="AB98" s="24"/>
      <c r="AC98" s="24"/>
      <c r="AD98" s="283"/>
      <c r="BB98" s="8" t="s">
        <v>75</v>
      </c>
    </row>
    <row r="99" spans="1:57" s="2" customFormat="1" x14ac:dyDescent="0.2">
      <c r="B99" s="2" t="s">
        <v>579</v>
      </c>
      <c r="C99" s="45" t="s">
        <v>164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R99" s="32"/>
      <c r="S99" s="32"/>
      <c r="T99" s="32"/>
      <c r="U99" s="32"/>
      <c r="V99" s="24">
        <f ca="1">+V96+V89</f>
        <v>12.872018304909895</v>
      </c>
      <c r="W99" s="24">
        <f t="shared" ref="W99:BA99" ca="1" si="101">+W96+W89</f>
        <v>13.682303558790903</v>
      </c>
      <c r="X99" s="24">
        <f t="shared" ca="1" si="101"/>
        <v>12.98762340881083</v>
      </c>
      <c r="Y99" s="24">
        <f t="shared" ca="1" si="101"/>
        <v>8.9533397204274081</v>
      </c>
      <c r="Z99" s="24">
        <f t="shared" ca="1" si="101"/>
        <v>7.0052668775894231</v>
      </c>
      <c r="AA99" s="24">
        <f t="shared" ca="1" si="101"/>
        <v>7.4100935079402985</v>
      </c>
      <c r="AB99" s="24">
        <f t="shared" ca="1" si="101"/>
        <v>6.9644235094062887</v>
      </c>
      <c r="AC99" s="24">
        <f t="shared" ca="1" si="101"/>
        <v>6.8190801318447045</v>
      </c>
      <c r="AD99" s="24">
        <f t="shared" ca="1" si="101"/>
        <v>6.1121827292049788</v>
      </c>
      <c r="AE99" s="24">
        <f t="shared" ca="1" si="101"/>
        <v>8.5381129676970762</v>
      </c>
      <c r="AF99" s="24">
        <f t="shared" ca="1" si="101"/>
        <v>7.2282344228809112</v>
      </c>
      <c r="AG99" s="24">
        <f t="shared" ca="1" si="101"/>
        <v>4.8040687324138087</v>
      </c>
      <c r="AH99" s="24">
        <f t="shared" ca="1" si="101"/>
        <v>6.2800622774267936</v>
      </c>
      <c r="AI99" s="24">
        <f t="shared" ca="1" si="101"/>
        <v>9.1403597017474105</v>
      </c>
      <c r="AJ99" s="24">
        <f t="shared" ca="1" si="101"/>
        <v>7.7380871960405013</v>
      </c>
      <c r="AK99" s="24">
        <f t="shared" ca="1" si="101"/>
        <v>5.1429298736514255</v>
      </c>
      <c r="AL99" s="24">
        <f t="shared" ca="1" si="101"/>
        <v>6.5629622635291813</v>
      </c>
      <c r="AM99" s="24">
        <f t="shared" ca="1" si="101"/>
        <v>9.5521084262608031</v>
      </c>
      <c r="AN99" s="24">
        <f t="shared" ca="1" si="101"/>
        <v>8.0866672997900313</v>
      </c>
      <c r="AO99" s="24">
        <f t="shared" ca="1" si="101"/>
        <v>5.37460509047391</v>
      </c>
      <c r="AP99" s="24">
        <f t="shared" ca="1" si="101"/>
        <v>6.8586061363322495</v>
      </c>
      <c r="AQ99" s="24">
        <f t="shared" ca="1" si="101"/>
        <v>9.9824053280528275</v>
      </c>
      <c r="AR99" s="24">
        <f t="shared" ca="1" si="101"/>
        <v>8.4509500036333112</v>
      </c>
      <c r="AS99" s="24">
        <f t="shared" ca="1" si="101"/>
        <v>5.6167166553330894</v>
      </c>
      <c r="AT99" s="24">
        <f t="shared" ca="1" si="101"/>
        <v>7.1675679738007094</v>
      </c>
      <c r="AU99" s="24">
        <f t="shared" ca="1" si="101"/>
        <v>10.432085952833459</v>
      </c>
      <c r="AV99" s="24">
        <f t="shared" ca="1" si="101"/>
        <v>8.8316426676492892</v>
      </c>
      <c r="AW99" s="24">
        <f t="shared" ca="1" si="101"/>
        <v>5.8697346977570017</v>
      </c>
      <c r="AX99" s="24">
        <f t="shared" ca="1" si="101"/>
        <v>7.4904477145740742</v>
      </c>
      <c r="AY99" s="24">
        <f t="shared" ca="1" si="101"/>
        <v>10.90202348540913</v>
      </c>
      <c r="AZ99" s="24">
        <f t="shared" ca="1" si="101"/>
        <v>9.2294845165939741</v>
      </c>
      <c r="BA99" s="24">
        <f t="shared" ca="1" si="101"/>
        <v>6.1341505253498063</v>
      </c>
      <c r="BB99" s="8" t="s">
        <v>75</v>
      </c>
    </row>
    <row r="100" spans="1:57" x14ac:dyDescent="0.2">
      <c r="B100" s="19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R100" s="25"/>
      <c r="S100" s="25"/>
      <c r="T100" s="25"/>
      <c r="U100" s="25"/>
      <c r="V100" s="23"/>
      <c r="W100" s="23"/>
      <c r="X100" s="23"/>
      <c r="Y100" s="23"/>
      <c r="Z100" s="23"/>
      <c r="AA100" s="23"/>
      <c r="AB100" s="23"/>
      <c r="AC100" s="23"/>
      <c r="AD100" s="39"/>
      <c r="BB100" s="8" t="s">
        <v>75</v>
      </c>
    </row>
    <row r="101" spans="1:57" x14ac:dyDescent="0.2">
      <c r="B101" s="2" t="s">
        <v>261</v>
      </c>
      <c r="C101" s="45" t="s">
        <v>164</v>
      </c>
      <c r="E101" s="11"/>
      <c r="F101" s="11"/>
      <c r="G101" s="13">
        <f t="shared" ref="G101:N101" ca="1" si="102">+SUMIFS(101:101,$6:$6,G$3)</f>
        <v>52.375587927647942</v>
      </c>
      <c r="H101" s="13">
        <f t="shared" ca="1" si="102"/>
        <v>69.377923694202295</v>
      </c>
      <c r="I101" s="13">
        <f t="shared" ca="1" si="102"/>
        <v>69.083601814004822</v>
      </c>
      <c r="J101" s="13">
        <f t="shared" ca="1" si="102"/>
        <v>69.061726208072571</v>
      </c>
      <c r="K101" s="13">
        <f t="shared" ca="1" si="102"/>
        <v>69.735417608228943</v>
      </c>
      <c r="L101" s="13">
        <f t="shared" ca="1" si="102"/>
        <v>70.415680812010336</v>
      </c>
      <c r="M101" s="13">
        <f t="shared" ca="1" si="102"/>
        <v>71.102579926814983</v>
      </c>
      <c r="N101" s="13">
        <f t="shared" ca="1" si="102"/>
        <v>71.796179685403487</v>
      </c>
      <c r="R101" s="25"/>
      <c r="S101" s="25"/>
      <c r="T101" s="25"/>
      <c r="U101" s="25"/>
      <c r="V101" s="24">
        <f ca="1">+V102</f>
        <v>14.082522205076888</v>
      </c>
      <c r="W101" s="24">
        <f t="shared" ref="W101:BA101" ca="1" si="103">+W102</f>
        <v>14.28874152498876</v>
      </c>
      <c r="X101" s="24">
        <f t="shared" ca="1" si="103"/>
        <v>14.208998986273208</v>
      </c>
      <c r="Y101" s="24">
        <f t="shared" ca="1" si="103"/>
        <v>9.7953252113090805</v>
      </c>
      <c r="Z101" s="24">
        <f t="shared" ca="1" si="103"/>
        <v>17.555680354045581</v>
      </c>
      <c r="AA101" s="24">
        <f t="shared" ca="1" si="103"/>
        <v>17.279835704161986</v>
      </c>
      <c r="AB101" s="24">
        <f t="shared" ca="1" si="103"/>
        <v>17.453324065707797</v>
      </c>
      <c r="AC101" s="24">
        <f t="shared" ca="1" si="103"/>
        <v>17.089083570286931</v>
      </c>
      <c r="AD101" s="24">
        <f t="shared" ca="1" si="103"/>
        <v>17.127096997249392</v>
      </c>
      <c r="AE101" s="24">
        <f t="shared" ca="1" si="103"/>
        <v>18.251072770525258</v>
      </c>
      <c r="AF101" s="24">
        <f t="shared" ca="1" si="103"/>
        <v>18.308318602212427</v>
      </c>
      <c r="AG101" s="24">
        <f t="shared" ca="1" si="103"/>
        <v>15.397113444017741</v>
      </c>
      <c r="AH101" s="24">
        <f t="shared" ca="1" si="103"/>
        <v>16.598390004395636</v>
      </c>
      <c r="AI101" s="24">
        <f t="shared" ca="1" si="103"/>
        <v>18.429110468744472</v>
      </c>
      <c r="AJ101" s="24">
        <f t="shared" ca="1" si="103"/>
        <v>18.486914728762642</v>
      </c>
      <c r="AK101" s="24">
        <f t="shared" ca="1" si="103"/>
        <v>15.547311006169815</v>
      </c>
      <c r="AL101" s="24">
        <f t="shared" ca="1" si="103"/>
        <v>16.760305919568573</v>
      </c>
      <c r="AM101" s="24">
        <f t="shared" ca="1" si="103"/>
        <v>18.608884909914948</v>
      </c>
      <c r="AN101" s="24">
        <f t="shared" ca="1" si="103"/>
        <v>18.667253045686085</v>
      </c>
      <c r="AO101" s="24">
        <f t="shared" ca="1" si="103"/>
        <v>15.698973733059328</v>
      </c>
      <c r="AP101" s="24">
        <f t="shared" ca="1" si="103"/>
        <v>16.923801311038869</v>
      </c>
      <c r="AQ101" s="24">
        <f t="shared" ca="1" si="103"/>
        <v>18.79041303581986</v>
      </c>
      <c r="AR101" s="24">
        <f t="shared" ca="1" si="103"/>
        <v>18.849350547905075</v>
      </c>
      <c r="AS101" s="24">
        <f t="shared" ca="1" si="103"/>
        <v>15.852115917246531</v>
      </c>
      <c r="AT101" s="24">
        <f t="shared" ca="1" si="103"/>
        <v>17.088891586466548</v>
      </c>
      <c r="AU101" s="24">
        <f t="shared" ca="1" si="103"/>
        <v>18.973711953508047</v>
      </c>
      <c r="AV101" s="24">
        <f t="shared" ca="1" si="103"/>
        <v>19.033224396125966</v>
      </c>
      <c r="AW101" s="24">
        <f t="shared" ca="1" si="103"/>
        <v>16.006751990714417</v>
      </c>
      <c r="AX101" s="24">
        <f t="shared" ca="1" si="103"/>
        <v>17.255592303812087</v>
      </c>
      <c r="AY101" s="24">
        <f t="shared" ca="1" si="103"/>
        <v>19.158798936906212</v>
      </c>
      <c r="AZ101" s="24">
        <f t="shared" ca="1" si="103"/>
        <v>19.218891918456407</v>
      </c>
      <c r="BA101" s="24">
        <f t="shared" ca="1" si="103"/>
        <v>16.162896526228781</v>
      </c>
      <c r="BB101" s="8" t="s">
        <v>75</v>
      </c>
    </row>
    <row r="102" spans="1:57" x14ac:dyDescent="0.2">
      <c r="B102" s="19" t="s">
        <v>503</v>
      </c>
      <c r="C102" s="45" t="s">
        <v>164</v>
      </c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R102" s="25"/>
      <c r="S102" s="25"/>
      <c r="T102" s="25"/>
      <c r="U102" s="25"/>
      <c r="V102" s="46">
        <f ca="1">+SUMIFS('Contract CF'!49:49,'Contract CF'!$3:$3,V$6)*V$12/V$9</f>
        <v>14.082522205076888</v>
      </c>
      <c r="W102" s="46">
        <f ca="1">+SUMIFS('Contract CF'!49:49,'Contract CF'!$3:$3,W$6)*W$12/W$9</f>
        <v>14.28874152498876</v>
      </c>
      <c r="X102" s="46">
        <f ca="1">+SUMIFS('Contract CF'!49:49,'Contract CF'!$3:$3,X$6)*X$12/X$9</f>
        <v>14.208998986273208</v>
      </c>
      <c r="Y102" s="46">
        <f ca="1">+SUMIFS('Contract CF'!49:49,'Contract CF'!$3:$3,Y$6)*Y$12/Y$9</f>
        <v>9.7953252113090805</v>
      </c>
      <c r="Z102" s="46">
        <f ca="1">+SUMIFS('Contract CF'!49:49,'Contract CF'!$3:$3,Z$6)*Z$12/Z$9</f>
        <v>17.555680354045581</v>
      </c>
      <c r="AA102" s="46">
        <f ca="1">+SUMIFS('Contract CF'!49:49,'Contract CF'!$3:$3,AA$6)*AA$12/AA$9</f>
        <v>17.279835704161986</v>
      </c>
      <c r="AB102" s="46">
        <f ca="1">+SUMIFS('Contract CF'!49:49,'Contract CF'!$3:$3,AB$6)*AB$12/AB$9</f>
        <v>17.453324065707797</v>
      </c>
      <c r="AC102" s="46">
        <f ca="1">+SUMIFS('Contract CF'!49:49,'Contract CF'!$3:$3,AC$6)*AC$12/AC$9</f>
        <v>17.089083570286931</v>
      </c>
      <c r="AD102" s="46">
        <f ca="1">+SUMIFS('Contract CF'!49:49,'Contract CF'!$3:$3,AD$6)*AD$12/AD$9</f>
        <v>17.127096997249392</v>
      </c>
      <c r="AE102" s="46">
        <f ca="1">+SUMIFS('Contract CF'!49:49,'Contract CF'!$3:$3,AE$6)*AE$12/AE$9</f>
        <v>18.251072770525258</v>
      </c>
      <c r="AF102" s="46">
        <f ca="1">+SUMIFS('Contract CF'!49:49,'Contract CF'!$3:$3,AF$6)*AF$12/AF$9</f>
        <v>18.308318602212427</v>
      </c>
      <c r="AG102" s="46">
        <f ca="1">+SUMIFS('Contract CF'!49:49,'Contract CF'!$3:$3,AG$6)*AG$12/AG$9</f>
        <v>15.397113444017741</v>
      </c>
      <c r="AH102" s="46">
        <f ca="1">+SUMIFS('Contract CF'!49:49,'Contract CF'!$3:$3,AH$6)*AH$12/AH$9</f>
        <v>16.598390004395636</v>
      </c>
      <c r="AI102" s="46">
        <f ca="1">+SUMIFS('Contract CF'!49:49,'Contract CF'!$3:$3,AI$6)*AI$12/AI$9</f>
        <v>18.429110468744472</v>
      </c>
      <c r="AJ102" s="46">
        <f ca="1">+SUMIFS('Contract CF'!49:49,'Contract CF'!$3:$3,AJ$6)*AJ$12/AJ$9</f>
        <v>18.486914728762642</v>
      </c>
      <c r="AK102" s="46">
        <f ca="1">+SUMIFS('Contract CF'!49:49,'Contract CF'!$3:$3,AK$6)*AK$12/AK$9</f>
        <v>15.547311006169815</v>
      </c>
      <c r="AL102" s="46">
        <f ca="1">+SUMIFS('Contract CF'!49:49,'Contract CF'!$3:$3,AL$6)*AL$12/AL$9</f>
        <v>16.760305919568573</v>
      </c>
      <c r="AM102" s="46">
        <f ca="1">+SUMIFS('Contract CF'!49:49,'Contract CF'!$3:$3,AM$6)*AM$12/AM$9</f>
        <v>18.608884909914948</v>
      </c>
      <c r="AN102" s="46">
        <f ca="1">+SUMIFS('Contract CF'!49:49,'Contract CF'!$3:$3,AN$6)*AN$12/AN$9</f>
        <v>18.667253045686085</v>
      </c>
      <c r="AO102" s="46">
        <f ca="1">+SUMIFS('Contract CF'!49:49,'Contract CF'!$3:$3,AO$6)*AO$12/AO$9</f>
        <v>15.698973733059328</v>
      </c>
      <c r="AP102" s="46">
        <f ca="1">+SUMIFS('Contract CF'!49:49,'Contract CF'!$3:$3,AP$6)*AP$12/AP$9</f>
        <v>16.923801311038869</v>
      </c>
      <c r="AQ102" s="46">
        <f ca="1">+SUMIFS('Contract CF'!49:49,'Contract CF'!$3:$3,AQ$6)*AQ$12/AQ$9</f>
        <v>18.79041303581986</v>
      </c>
      <c r="AR102" s="46">
        <f ca="1">+SUMIFS('Contract CF'!49:49,'Contract CF'!$3:$3,AR$6)*AR$12/AR$9</f>
        <v>18.849350547905075</v>
      </c>
      <c r="AS102" s="46">
        <f ca="1">+SUMIFS('Contract CF'!49:49,'Contract CF'!$3:$3,AS$6)*AS$12/AS$9</f>
        <v>15.852115917246531</v>
      </c>
      <c r="AT102" s="46">
        <f ca="1">+SUMIFS('Contract CF'!49:49,'Contract CF'!$3:$3,AT$6)*AT$12/AT$9</f>
        <v>17.088891586466548</v>
      </c>
      <c r="AU102" s="46">
        <f ca="1">+SUMIFS('Contract CF'!49:49,'Contract CF'!$3:$3,AU$6)*AU$12/AU$9</f>
        <v>18.973711953508047</v>
      </c>
      <c r="AV102" s="46">
        <f ca="1">+SUMIFS('Contract CF'!49:49,'Contract CF'!$3:$3,AV$6)*AV$12/AV$9</f>
        <v>19.033224396125966</v>
      </c>
      <c r="AW102" s="46">
        <f ca="1">+SUMIFS('Contract CF'!49:49,'Contract CF'!$3:$3,AW$6)*AW$12/AW$9</f>
        <v>16.006751990714417</v>
      </c>
      <c r="AX102" s="46">
        <f ca="1">+SUMIFS('Contract CF'!49:49,'Contract CF'!$3:$3,AX$6)*AX$12/AX$9</f>
        <v>17.255592303812087</v>
      </c>
      <c r="AY102" s="46">
        <f ca="1">+SUMIFS('Contract CF'!49:49,'Contract CF'!$3:$3,AY$6)*AY$12/AY$9</f>
        <v>19.158798936906212</v>
      </c>
      <c r="AZ102" s="46">
        <f ca="1">+SUMIFS('Contract CF'!49:49,'Contract CF'!$3:$3,AZ$6)*AZ$12/AZ$9</f>
        <v>19.218891918456407</v>
      </c>
      <c r="BA102" s="46">
        <f ca="1">+SUMIFS('Contract CF'!49:49,'Contract CF'!$3:$3,BA$6)*BA$12/BA$9</f>
        <v>16.162896526228781</v>
      </c>
      <c r="BB102" s="8" t="s">
        <v>75</v>
      </c>
    </row>
    <row r="103" spans="1:57" x14ac:dyDescent="0.2">
      <c r="B103" s="19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R103" s="25"/>
      <c r="S103" s="25"/>
      <c r="T103" s="25"/>
      <c r="U103" s="25"/>
      <c r="V103" s="23"/>
      <c r="W103" s="23"/>
      <c r="X103" s="23"/>
      <c r="Y103" s="23"/>
      <c r="Z103" s="23"/>
      <c r="AA103" s="23"/>
      <c r="AB103" s="23"/>
      <c r="AC103" s="23"/>
      <c r="AD103" s="39"/>
      <c r="BB103" s="8" t="s">
        <v>75</v>
      </c>
    </row>
    <row r="104" spans="1:57" s="2" customFormat="1" x14ac:dyDescent="0.2">
      <c r="B104" s="2" t="s">
        <v>253</v>
      </c>
      <c r="C104" s="81" t="s">
        <v>201</v>
      </c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R104" s="32"/>
      <c r="S104" s="32"/>
      <c r="T104" s="32"/>
      <c r="U104" s="32"/>
      <c r="V104" s="24">
        <f t="shared" ref="V104:AC104" ca="1" si="104">+(V101/V86)*V17</f>
        <v>121.55950778243277</v>
      </c>
      <c r="W104" s="24">
        <f t="shared" ca="1" si="104"/>
        <v>190.45945253549604</v>
      </c>
      <c r="X104" s="24">
        <f t="shared" ca="1" si="104"/>
        <v>143.32136934635403</v>
      </c>
      <c r="Y104" s="24">
        <f t="shared" ca="1" si="104"/>
        <v>0</v>
      </c>
      <c r="Z104" s="24">
        <f t="shared" ca="1" si="104"/>
        <v>150.49719384128096</v>
      </c>
      <c r="AA104" s="24">
        <f t="shared" ca="1" si="104"/>
        <v>226.10493417702784</v>
      </c>
      <c r="AB104" s="24">
        <f t="shared" ca="1" si="104"/>
        <v>191.07802460296904</v>
      </c>
      <c r="AC104" s="24">
        <f t="shared" ca="1" si="104"/>
        <v>15.350889536223949</v>
      </c>
      <c r="AD104" s="114">
        <f t="shared" ref="AD104:BA104" ca="1" si="105">+AD17*AD105</f>
        <v>141.91575</v>
      </c>
      <c r="AE104" s="24">
        <f t="shared" ca="1" si="105"/>
        <v>254.03614999999999</v>
      </c>
      <c r="AF104" s="24">
        <f t="shared" ca="1" si="105"/>
        <v>229.14324999999997</v>
      </c>
      <c r="AG104" s="24">
        <f t="shared" ca="1" si="105"/>
        <v>20.518299999999996</v>
      </c>
      <c r="AH104" s="24">
        <f t="shared" ca="1" si="105"/>
        <v>143.33490750000001</v>
      </c>
      <c r="AI104" s="24">
        <f t="shared" ca="1" si="105"/>
        <v>256.57651149999998</v>
      </c>
      <c r="AJ104" s="24">
        <f t="shared" ca="1" si="105"/>
        <v>231.43468249999998</v>
      </c>
      <c r="AK104" s="24">
        <f t="shared" ca="1" si="105"/>
        <v>20.723482999999998</v>
      </c>
      <c r="AL104" s="24">
        <f t="shared" ca="1" si="105"/>
        <v>144.76825657500001</v>
      </c>
      <c r="AM104" s="24">
        <f t="shared" ca="1" si="105"/>
        <v>259.14227661499996</v>
      </c>
      <c r="AN104" s="24">
        <f t="shared" ca="1" si="105"/>
        <v>233.74902932499998</v>
      </c>
      <c r="AO104" s="24">
        <f t="shared" ca="1" si="105"/>
        <v>20.930717829999999</v>
      </c>
      <c r="AP104" s="24">
        <f t="shared" ca="1" si="105"/>
        <v>146.21593914075001</v>
      </c>
      <c r="AQ104" s="24">
        <f t="shared" ca="1" si="105"/>
        <v>261.73369938114996</v>
      </c>
      <c r="AR104" s="24">
        <f t="shared" ca="1" si="105"/>
        <v>236.08651961824998</v>
      </c>
      <c r="AS104" s="24">
        <f t="shared" ca="1" si="105"/>
        <v>21.1400250083</v>
      </c>
      <c r="AT104" s="24">
        <f t="shared" ca="1" si="105"/>
        <v>147.67809853215752</v>
      </c>
      <c r="AU104" s="24">
        <f t="shared" ca="1" si="105"/>
        <v>264.35103637496144</v>
      </c>
      <c r="AV104" s="24">
        <f t="shared" ca="1" si="105"/>
        <v>238.4473848144325</v>
      </c>
      <c r="AW104" s="24">
        <f t="shared" ca="1" si="105"/>
        <v>21.351425258382999</v>
      </c>
      <c r="AX104" s="24">
        <f t="shared" ca="1" si="105"/>
        <v>149.15487951747909</v>
      </c>
      <c r="AY104" s="24">
        <f t="shared" ca="1" si="105"/>
        <v>266.99454673871105</v>
      </c>
      <c r="AZ104" s="24">
        <f t="shared" ca="1" si="105"/>
        <v>240.83185866257682</v>
      </c>
      <c r="BA104" s="24">
        <f t="shared" ca="1" si="105"/>
        <v>21.56493951096683</v>
      </c>
      <c r="BB104" s="8" t="s">
        <v>75</v>
      </c>
    </row>
    <row r="105" spans="1:57" x14ac:dyDescent="0.2">
      <c r="B105" s="26" t="s">
        <v>239</v>
      </c>
      <c r="C105" s="45" t="s">
        <v>177</v>
      </c>
      <c r="D105" s="274">
        <v>1</v>
      </c>
      <c r="E105" s="11"/>
      <c r="F105" s="11"/>
      <c r="G105" s="92"/>
      <c r="H105" s="92"/>
      <c r="I105" s="92"/>
      <c r="J105" s="92"/>
      <c r="K105" s="92"/>
      <c r="L105" s="92"/>
      <c r="M105" s="92"/>
      <c r="N105" s="92"/>
      <c r="P105" s="97"/>
      <c r="R105" s="25"/>
      <c r="S105" s="25"/>
      <c r="T105" s="25"/>
      <c r="U105" s="25"/>
      <c r="V105" s="42">
        <f t="shared" ref="V105:AC105" ca="1" si="106">+IFERROR(V104/V17,"NM")</f>
        <v>1.0272055753120903</v>
      </c>
      <c r="W105" s="42">
        <f t="shared" ca="1" si="106"/>
        <v>1.1444917647283044</v>
      </c>
      <c r="X105" s="42">
        <f t="shared" ca="1" si="106"/>
        <v>1.0260106046786699</v>
      </c>
      <c r="Y105" s="42" t="str">
        <f t="shared" ca="1" si="106"/>
        <v>NM</v>
      </c>
      <c r="Z105" s="42">
        <f t="shared" ca="1" si="106"/>
        <v>1.2195388666689433</v>
      </c>
      <c r="AA105" s="42">
        <f t="shared" ca="1" si="106"/>
        <v>1.0235577664973352</v>
      </c>
      <c r="AB105" s="42">
        <f t="shared" ca="1" si="106"/>
        <v>0.95896225742374863</v>
      </c>
      <c r="AC105" s="42">
        <f t="shared" ca="1" si="106"/>
        <v>0.86037941577311683</v>
      </c>
      <c r="AD105" s="111">
        <f>+$D105</f>
        <v>1</v>
      </c>
      <c r="AE105" s="30">
        <f t="shared" ref="AE105:BA105" si="107">+$D105</f>
        <v>1</v>
      </c>
      <c r="AF105" s="30">
        <f t="shared" si="107"/>
        <v>1</v>
      </c>
      <c r="AG105" s="30">
        <f t="shared" si="107"/>
        <v>1</v>
      </c>
      <c r="AH105" s="30">
        <f t="shared" si="107"/>
        <v>1</v>
      </c>
      <c r="AI105" s="30">
        <f t="shared" si="107"/>
        <v>1</v>
      </c>
      <c r="AJ105" s="30">
        <f t="shared" si="107"/>
        <v>1</v>
      </c>
      <c r="AK105" s="30">
        <f t="shared" si="107"/>
        <v>1</v>
      </c>
      <c r="AL105" s="30">
        <f t="shared" si="107"/>
        <v>1</v>
      </c>
      <c r="AM105" s="30">
        <f t="shared" si="107"/>
        <v>1</v>
      </c>
      <c r="AN105" s="30">
        <f t="shared" si="107"/>
        <v>1</v>
      </c>
      <c r="AO105" s="30">
        <f t="shared" si="107"/>
        <v>1</v>
      </c>
      <c r="AP105" s="30">
        <f t="shared" si="107"/>
        <v>1</v>
      </c>
      <c r="AQ105" s="30">
        <f t="shared" si="107"/>
        <v>1</v>
      </c>
      <c r="AR105" s="30">
        <f t="shared" si="107"/>
        <v>1</v>
      </c>
      <c r="AS105" s="30">
        <f t="shared" si="107"/>
        <v>1</v>
      </c>
      <c r="AT105" s="30">
        <f t="shared" si="107"/>
        <v>1</v>
      </c>
      <c r="AU105" s="30">
        <f t="shared" si="107"/>
        <v>1</v>
      </c>
      <c r="AV105" s="30">
        <f t="shared" si="107"/>
        <v>1</v>
      </c>
      <c r="AW105" s="30">
        <f t="shared" si="107"/>
        <v>1</v>
      </c>
      <c r="AX105" s="30">
        <f t="shared" si="107"/>
        <v>1</v>
      </c>
      <c r="AY105" s="30">
        <f t="shared" si="107"/>
        <v>1</v>
      </c>
      <c r="AZ105" s="30">
        <f t="shared" si="107"/>
        <v>1</v>
      </c>
      <c r="BA105" s="30">
        <f t="shared" si="107"/>
        <v>1</v>
      </c>
      <c r="BB105" s="8" t="s">
        <v>75</v>
      </c>
    </row>
    <row r="106" spans="1:57" x14ac:dyDescent="0.2">
      <c r="B106" s="19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R106" s="25"/>
      <c r="S106" s="25"/>
      <c r="T106" s="25"/>
      <c r="U106" s="25"/>
      <c r="V106" s="23"/>
      <c r="W106" s="23"/>
      <c r="X106" s="23"/>
      <c r="Y106" s="23"/>
      <c r="Z106" s="23"/>
      <c r="AA106" s="23"/>
      <c r="AB106" s="23"/>
      <c r="AC106" s="23"/>
      <c r="AD106" s="39"/>
      <c r="BB106" s="8" t="s">
        <v>75</v>
      </c>
    </row>
    <row r="107" spans="1:57" s="35" customFormat="1" x14ac:dyDescent="0.2">
      <c r="A107" s="17" t="s">
        <v>75</v>
      </c>
      <c r="B107" s="36" t="s">
        <v>535</v>
      </c>
      <c r="C107" s="36"/>
      <c r="D107" s="36"/>
      <c r="E107" s="36"/>
      <c r="F107" s="36"/>
      <c r="G107" s="36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U107" s="37"/>
      <c r="V107" s="37"/>
      <c r="W107" s="37"/>
      <c r="X107" s="37"/>
      <c r="Y107" s="44"/>
      <c r="Z107" s="44"/>
      <c r="AA107" s="44"/>
      <c r="AB107" s="44"/>
      <c r="AC107" s="44"/>
      <c r="AD107" s="44"/>
      <c r="AE107" s="44"/>
      <c r="AF107" s="44"/>
      <c r="BB107" s="90" t="s">
        <v>75</v>
      </c>
      <c r="BE107" s="90"/>
    </row>
    <row r="108" spans="1:57" x14ac:dyDescent="0.2">
      <c r="B108" s="1" t="s">
        <v>538</v>
      </c>
      <c r="C108" s="45" t="s">
        <v>164</v>
      </c>
      <c r="D108" s="271">
        <f ca="1">+inflation</f>
        <v>0.04</v>
      </c>
      <c r="G108" s="11">
        <f t="shared" ref="G108:N110" ca="1" si="108">+SUMIFS(108:108,$6:$6,G$3)</f>
        <v>-19.605560077573006</v>
      </c>
      <c r="H108" s="11">
        <f t="shared" ca="1" si="108"/>
        <v>-18.737124970091266</v>
      </c>
      <c r="I108" s="11">
        <f t="shared" ca="1" si="108"/>
        <v>-19.486609968894918</v>
      </c>
      <c r="J108" s="11">
        <f t="shared" ca="1" si="108"/>
        <v>-20.266074367650717</v>
      </c>
      <c r="K108" s="11">
        <f t="shared" ca="1" si="108"/>
        <v>-21.076717342356744</v>
      </c>
      <c r="L108" s="11">
        <f t="shared" ca="1" si="108"/>
        <v>-21.919786036051015</v>
      </c>
      <c r="M108" s="11">
        <f t="shared" ca="1" si="108"/>
        <v>-22.796577477493059</v>
      </c>
      <c r="N108" s="11">
        <f t="shared" ca="1" si="108"/>
        <v>-23.708440576592782</v>
      </c>
      <c r="V108" s="11">
        <f ca="1">V110*V111</f>
        <v>-6.1732519522581368</v>
      </c>
      <c r="W108" s="11">
        <f t="shared" ref="W108:AC108" ca="1" si="109">W110*W111</f>
        <v>-3.8240735459105464</v>
      </c>
      <c r="X108" s="11">
        <f t="shared" ca="1" si="109"/>
        <v>-5.6312803499866524</v>
      </c>
      <c r="Y108" s="11">
        <f t="shared" ca="1" si="109"/>
        <v>-3.9769542294176712</v>
      </c>
      <c r="Z108" s="11">
        <f t="shared" ca="1" si="109"/>
        <v>-4.3360435694669999</v>
      </c>
      <c r="AA108" s="11">
        <f t="shared" ca="1" si="109"/>
        <v>-5.4565493992271987</v>
      </c>
      <c r="AB108" s="11">
        <f t="shared" ca="1" si="109"/>
        <v>-4.4957432612703183</v>
      </c>
      <c r="AC108" s="11">
        <f t="shared" ca="1" si="109"/>
        <v>-4.4487887401267505</v>
      </c>
      <c r="AD108" s="106">
        <f t="shared" ref="AD108:AG108" ca="1" si="110">+Z108*(1+$D108)</f>
        <v>-4.5094853122456797</v>
      </c>
      <c r="AE108" s="11">
        <f t="shared" ca="1" si="110"/>
        <v>-5.6748113751962865</v>
      </c>
      <c r="AF108" s="11">
        <f t="shared" ca="1" si="110"/>
        <v>-4.6755729917211308</v>
      </c>
      <c r="AG108" s="11">
        <f t="shared" ca="1" si="110"/>
        <v>-4.6267402897318206</v>
      </c>
      <c r="AH108" s="11">
        <f t="shared" ref="AH108:BA108" ca="1" si="111">+AD108*(1+$D108)</f>
        <v>-4.6898647247355072</v>
      </c>
      <c r="AI108" s="11">
        <f t="shared" ca="1" si="111"/>
        <v>-5.9018038302041385</v>
      </c>
      <c r="AJ108" s="11">
        <f t="shared" ca="1" si="111"/>
        <v>-4.8625959113899766</v>
      </c>
      <c r="AK108" s="11">
        <f t="shared" ca="1" si="111"/>
        <v>-4.8118099013210935</v>
      </c>
      <c r="AL108" s="11">
        <f t="shared" ca="1" si="111"/>
        <v>-4.8774593137249278</v>
      </c>
      <c r="AM108" s="11">
        <f t="shared" ca="1" si="111"/>
        <v>-6.1378759834123038</v>
      </c>
      <c r="AN108" s="11">
        <f t="shared" ca="1" si="111"/>
        <v>-5.0570997478455757</v>
      </c>
      <c r="AO108" s="11">
        <f t="shared" ca="1" si="111"/>
        <v>-5.0042822973739378</v>
      </c>
      <c r="AP108" s="11">
        <f t="shared" ca="1" si="111"/>
        <v>-5.0725576862739254</v>
      </c>
      <c r="AQ108" s="11">
        <f t="shared" ca="1" si="111"/>
        <v>-6.3833910227487962</v>
      </c>
      <c r="AR108" s="11">
        <f t="shared" ca="1" si="111"/>
        <v>-5.259383737759399</v>
      </c>
      <c r="AS108" s="11">
        <f t="shared" ca="1" si="111"/>
        <v>-5.2044535892688959</v>
      </c>
      <c r="AT108" s="11">
        <f t="shared" ca="1" si="111"/>
        <v>-5.2754599937248825</v>
      </c>
      <c r="AU108" s="11">
        <f t="shared" ca="1" si="111"/>
        <v>-6.6387266636587485</v>
      </c>
      <c r="AV108" s="11">
        <f t="shared" ca="1" si="111"/>
        <v>-5.4697590872697752</v>
      </c>
      <c r="AW108" s="11">
        <f t="shared" ca="1" si="111"/>
        <v>-5.4126317328396523</v>
      </c>
      <c r="AX108" s="11">
        <f t="shared" ca="1" si="111"/>
        <v>-5.4864783934738783</v>
      </c>
      <c r="AY108" s="11">
        <f t="shared" ca="1" si="111"/>
        <v>-6.9042757302050983</v>
      </c>
      <c r="AZ108" s="11">
        <f t="shared" ca="1" si="111"/>
        <v>-5.6885494507605667</v>
      </c>
      <c r="BA108" s="11">
        <f t="shared" ca="1" si="111"/>
        <v>-5.6291370021532385</v>
      </c>
      <c r="BB108" s="8" t="s">
        <v>75</v>
      </c>
    </row>
    <row r="109" spans="1:57" x14ac:dyDescent="0.2">
      <c r="B109" s="1" t="s">
        <v>539</v>
      </c>
      <c r="C109" s="45" t="s">
        <v>164</v>
      </c>
      <c r="G109" s="11">
        <f t="shared" ca="1" si="108"/>
        <v>-13.07037338504867</v>
      </c>
      <c r="H109" s="11">
        <f t="shared" ca="1" si="108"/>
        <v>-22.900930519000436</v>
      </c>
      <c r="I109" s="11">
        <f t="shared" ca="1" si="108"/>
        <v>-25.564681445811949</v>
      </c>
      <c r="J109" s="11">
        <f t="shared" ca="1" si="108"/>
        <v>-20.598908697631227</v>
      </c>
      <c r="K109" s="11">
        <f t="shared" ca="1" si="108"/>
        <v>-16.991079859198933</v>
      </c>
      <c r="L109" s="11">
        <f t="shared" ca="1" si="108"/>
        <v>-14.562897265771529</v>
      </c>
      <c r="M109" s="11">
        <f t="shared" ca="1" si="108"/>
        <v>-15.465972270261849</v>
      </c>
      <c r="N109" s="11">
        <f t="shared" ca="1" si="108"/>
        <v>-16.425749699384347</v>
      </c>
      <c r="V109" s="11">
        <f ca="1">+V110-V108</f>
        <v>-4.1155013015054243</v>
      </c>
      <c r="W109" s="11">
        <f t="shared" ref="W109:AC109" ca="1" si="112">+W110-W108</f>
        <v>-2.5493823639403645</v>
      </c>
      <c r="X109" s="11">
        <f t="shared" ca="1" si="112"/>
        <v>-3.7541868999911019</v>
      </c>
      <c r="Y109" s="11">
        <f t="shared" ca="1" si="112"/>
        <v>-2.6513028196117809</v>
      </c>
      <c r="Z109" s="11">
        <f t="shared" ca="1" si="112"/>
        <v>-5.299608807126333</v>
      </c>
      <c r="AA109" s="11">
        <f t="shared" ca="1" si="112"/>
        <v>-6.6691159323887979</v>
      </c>
      <c r="AB109" s="11">
        <f t="shared" ca="1" si="112"/>
        <v>-5.4947973193303881</v>
      </c>
      <c r="AC109" s="11">
        <f t="shared" ca="1" si="112"/>
        <v>-5.4374084601549173</v>
      </c>
      <c r="AD109" s="106">
        <f t="shared" ref="AD109:BA109" ca="1" si="113">+AD115+AD116</f>
        <v>-5.7580138033050483</v>
      </c>
      <c r="AE109" s="11">
        <f t="shared" ca="1" si="113"/>
        <v>-7.5873872486007485</v>
      </c>
      <c r="AF109" s="11">
        <f t="shared" ca="1" si="113"/>
        <v>-6.27368303451009</v>
      </c>
      <c r="AG109" s="11">
        <f t="shared" ca="1" si="113"/>
        <v>-5.9455973593960643</v>
      </c>
      <c r="AH109" s="11">
        <f t="shared" ca="1" si="113"/>
        <v>-5.1770092528149556</v>
      </c>
      <c r="AI109" s="11">
        <f t="shared" ca="1" si="113"/>
        <v>-5.1791987351305906</v>
      </c>
      <c r="AJ109" s="11">
        <f t="shared" ca="1" si="113"/>
        <v>-5.4324949065490982</v>
      </c>
      <c r="AK109" s="11">
        <f t="shared" ca="1" si="113"/>
        <v>-4.810205803136582</v>
      </c>
      <c r="AL109" s="11">
        <f t="shared" ca="1" si="113"/>
        <v>-4.6313086673681658</v>
      </c>
      <c r="AM109" s="11">
        <f t="shared" ca="1" si="113"/>
        <v>-3.7833193134331733</v>
      </c>
      <c r="AN109" s="11">
        <f t="shared" ca="1" si="113"/>
        <v>-4.7088202131413803</v>
      </c>
      <c r="AO109" s="11">
        <f t="shared" ca="1" si="113"/>
        <v>-3.8676316652562162</v>
      </c>
      <c r="AP109" s="11">
        <f t="shared" ca="1" si="113"/>
        <v>-4.1990421308572241</v>
      </c>
      <c r="AQ109" s="11">
        <f t="shared" ca="1" si="113"/>
        <v>-3.0358191699432688</v>
      </c>
      <c r="AR109" s="11">
        <f t="shared" ca="1" si="113"/>
        <v>-4.1562757865076678</v>
      </c>
      <c r="AS109" s="11">
        <f t="shared" ca="1" si="113"/>
        <v>-3.1717601784633698</v>
      </c>
      <c r="AT109" s="11">
        <f t="shared" ca="1" si="113"/>
        <v>-4.4591634242821989</v>
      </c>
      <c r="AU109" s="11">
        <f t="shared" ca="1" si="113"/>
        <v>-3.2207023314437477</v>
      </c>
      <c r="AV109" s="11">
        <f t="shared" ca="1" si="113"/>
        <v>-4.4083829932644107</v>
      </c>
      <c r="AW109" s="11">
        <f t="shared" ca="1" si="113"/>
        <v>-3.3777235212714918</v>
      </c>
      <c r="AX109" s="11">
        <f t="shared" ca="1" si="113"/>
        <v>-4.7356028524289631</v>
      </c>
      <c r="AY109" s="11">
        <f t="shared" ca="1" si="113"/>
        <v>-3.4170137860066401</v>
      </c>
      <c r="AZ109" s="11">
        <f t="shared" ca="1" si="113"/>
        <v>-4.6760152202475282</v>
      </c>
      <c r="BA109" s="11">
        <f t="shared" ca="1" si="113"/>
        <v>-3.5971178407012161</v>
      </c>
      <c r="BB109" s="8" t="s">
        <v>75</v>
      </c>
    </row>
    <row r="110" spans="1:57" x14ac:dyDescent="0.2">
      <c r="B110" s="2" t="s">
        <v>537</v>
      </c>
      <c r="C110" s="81" t="s">
        <v>164</v>
      </c>
      <c r="D110" s="2"/>
      <c r="E110" s="2"/>
      <c r="F110" s="2"/>
      <c r="G110" s="13">
        <f t="shared" ca="1" si="108"/>
        <v>-32.675933462621678</v>
      </c>
      <c r="H110" s="13">
        <f t="shared" ca="1" si="108"/>
        <v>-41.638055489091698</v>
      </c>
      <c r="I110" s="13">
        <f t="shared" ca="1" si="108"/>
        <v>-45.051291414706867</v>
      </c>
      <c r="J110" s="13">
        <f t="shared" ca="1" si="108"/>
        <v>-40.86498306528194</v>
      </c>
      <c r="K110" s="13">
        <f t="shared" ca="1" si="108"/>
        <v>-38.067797201555678</v>
      </c>
      <c r="L110" s="13">
        <f t="shared" ca="1" si="108"/>
        <v>-36.482683301822547</v>
      </c>
      <c r="M110" s="13">
        <f t="shared" ca="1" si="108"/>
        <v>-38.26254974775491</v>
      </c>
      <c r="N110" s="13">
        <f t="shared" ca="1" si="108"/>
        <v>-40.134190275977133</v>
      </c>
      <c r="O110" s="2"/>
      <c r="P110" s="2"/>
      <c r="Q110" s="2"/>
      <c r="R110" s="2"/>
      <c r="S110" s="2"/>
      <c r="T110" s="2"/>
      <c r="U110" s="2"/>
      <c r="V110" s="13">
        <f t="shared" ref="V110:AC110" ca="1" si="114">+V78-V63</f>
        <v>-10.288753253763561</v>
      </c>
      <c r="W110" s="13">
        <f t="shared" ca="1" si="114"/>
        <v>-6.3734559098509109</v>
      </c>
      <c r="X110" s="13">
        <f t="shared" ca="1" si="114"/>
        <v>-9.3854672499777543</v>
      </c>
      <c r="Y110" s="13">
        <f t="shared" ca="1" si="114"/>
        <v>-6.6282570490294521</v>
      </c>
      <c r="Z110" s="13">
        <f t="shared" ca="1" si="114"/>
        <v>-9.6356523765933328</v>
      </c>
      <c r="AA110" s="13">
        <f t="shared" ca="1" si="114"/>
        <v>-12.125665331615997</v>
      </c>
      <c r="AB110" s="13">
        <f t="shared" ca="1" si="114"/>
        <v>-9.9905405806007064</v>
      </c>
      <c r="AC110" s="13">
        <f t="shared" ca="1" si="114"/>
        <v>-9.8861972002816678</v>
      </c>
      <c r="AD110" s="114">
        <f ca="1">+AD108+AD109</f>
        <v>-10.267499115550727</v>
      </c>
      <c r="AE110" s="13">
        <f t="shared" ref="AE110:BA110" ca="1" si="115">+AE108+AE109</f>
        <v>-13.262198623797035</v>
      </c>
      <c r="AF110" s="13">
        <f t="shared" ca="1" si="115"/>
        <v>-10.949256026231222</v>
      </c>
      <c r="AG110" s="13">
        <f t="shared" ca="1" si="115"/>
        <v>-10.572337649127885</v>
      </c>
      <c r="AH110" s="13">
        <f t="shared" ca="1" si="115"/>
        <v>-9.8668739775504619</v>
      </c>
      <c r="AI110" s="13">
        <f t="shared" ca="1" si="115"/>
        <v>-11.081002565334728</v>
      </c>
      <c r="AJ110" s="13">
        <f t="shared" ca="1" si="115"/>
        <v>-10.295090817939075</v>
      </c>
      <c r="AK110" s="13">
        <f t="shared" ca="1" si="115"/>
        <v>-9.6220157044576755</v>
      </c>
      <c r="AL110" s="13">
        <f t="shared" ca="1" si="115"/>
        <v>-9.5087679810930936</v>
      </c>
      <c r="AM110" s="13">
        <f t="shared" ca="1" si="115"/>
        <v>-9.9211952968454771</v>
      </c>
      <c r="AN110" s="13">
        <f t="shared" ca="1" si="115"/>
        <v>-9.765919960986956</v>
      </c>
      <c r="AO110" s="13">
        <f t="shared" ca="1" si="115"/>
        <v>-8.8719139626301544</v>
      </c>
      <c r="AP110" s="13">
        <f t="shared" ca="1" si="115"/>
        <v>-9.2715998171311504</v>
      </c>
      <c r="AQ110" s="13">
        <f t="shared" ca="1" si="115"/>
        <v>-9.4192101926920646</v>
      </c>
      <c r="AR110" s="13">
        <f t="shared" ca="1" si="115"/>
        <v>-9.4156595242670669</v>
      </c>
      <c r="AS110" s="13">
        <f t="shared" ca="1" si="115"/>
        <v>-8.3762137677322652</v>
      </c>
      <c r="AT110" s="13">
        <f t="shared" ca="1" si="115"/>
        <v>-9.7346234180070823</v>
      </c>
      <c r="AU110" s="13">
        <f t="shared" ca="1" si="115"/>
        <v>-9.8594289951024958</v>
      </c>
      <c r="AV110" s="13">
        <f t="shared" ca="1" si="115"/>
        <v>-9.878142080534186</v>
      </c>
      <c r="AW110" s="13">
        <f t="shared" ca="1" si="115"/>
        <v>-8.7903552541111445</v>
      </c>
      <c r="AX110" s="13">
        <f t="shared" ca="1" si="115"/>
        <v>-10.222081245902842</v>
      </c>
      <c r="AY110" s="13">
        <f t="shared" ca="1" si="115"/>
        <v>-10.321289516211738</v>
      </c>
      <c r="AZ110" s="13">
        <f t="shared" ca="1" si="115"/>
        <v>-10.364564671008095</v>
      </c>
      <c r="BA110" s="13">
        <f t="shared" ca="1" si="115"/>
        <v>-9.2262548428544555</v>
      </c>
      <c r="BB110" s="8" t="s">
        <v>75</v>
      </c>
    </row>
    <row r="111" spans="1:57" x14ac:dyDescent="0.2">
      <c r="B111" s="19" t="s">
        <v>536</v>
      </c>
      <c r="C111" s="45" t="s">
        <v>177</v>
      </c>
      <c r="G111" s="134">
        <f t="shared" ref="G111:N111" ca="1" si="116">+G108/G110</f>
        <v>0.6</v>
      </c>
      <c r="H111" s="134">
        <f t="shared" ca="1" si="116"/>
        <v>0.45</v>
      </c>
      <c r="I111" s="134">
        <f t="shared" ca="1" si="116"/>
        <v>0.43254276086153592</v>
      </c>
      <c r="J111" s="134">
        <f t="shared" ca="1" si="116"/>
        <v>0.49592763406448986</v>
      </c>
      <c r="K111" s="134">
        <f t="shared" ca="1" si="116"/>
        <v>0.55366264642955032</v>
      </c>
      <c r="L111" s="134">
        <f t="shared" ca="1" si="116"/>
        <v>0.60082713364880092</v>
      </c>
      <c r="M111" s="134">
        <f t="shared" ca="1" si="116"/>
        <v>0.59579347502398661</v>
      </c>
      <c r="N111" s="134">
        <f t="shared" ca="1" si="116"/>
        <v>0.59072926134961279</v>
      </c>
      <c r="V111" s="267">
        <v>0.6</v>
      </c>
      <c r="W111" s="267">
        <v>0.6</v>
      </c>
      <c r="X111" s="267">
        <v>0.6</v>
      </c>
      <c r="Y111" s="267">
        <v>0.6</v>
      </c>
      <c r="Z111" s="267">
        <v>0.45</v>
      </c>
      <c r="AA111" s="267">
        <v>0.45</v>
      </c>
      <c r="AB111" s="267">
        <v>0.45</v>
      </c>
      <c r="AC111" s="267">
        <v>0.45</v>
      </c>
      <c r="AD111" s="134">
        <f ca="1">+AD108/AD110</f>
        <v>0.43919997084935714</v>
      </c>
      <c r="AE111" s="134">
        <f t="shared" ref="AE111:BA111" ca="1" si="117">+AE108/AE110</f>
        <v>0.4278937102490446</v>
      </c>
      <c r="AF111" s="134">
        <f t="shared" ca="1" si="117"/>
        <v>0.42702198035371741</v>
      </c>
      <c r="AG111" s="134">
        <f t="shared" ca="1" si="117"/>
        <v>0.43762698877797207</v>
      </c>
      <c r="AH111" s="134">
        <f t="shared" ca="1" si="117"/>
        <v>0.47531414056833909</v>
      </c>
      <c r="AI111" s="134">
        <f t="shared" ca="1" si="117"/>
        <v>0.5326055828799332</v>
      </c>
      <c r="AJ111" s="134">
        <f t="shared" ca="1" si="117"/>
        <v>0.47232180826583486</v>
      </c>
      <c r="AK111" s="134">
        <f t="shared" ca="1" si="117"/>
        <v>0.50008335562078576</v>
      </c>
      <c r="AL111" s="134">
        <f t="shared" ca="1" si="117"/>
        <v>0.51294335117053014</v>
      </c>
      <c r="AM111" s="134">
        <f t="shared" ca="1" si="117"/>
        <v>0.61866295338061639</v>
      </c>
      <c r="AN111" s="134">
        <f t="shared" ca="1" si="117"/>
        <v>0.51783137359795639</v>
      </c>
      <c r="AO111" s="134">
        <f t="shared" ca="1" si="117"/>
        <v>0.56405893006320085</v>
      </c>
      <c r="AP111" s="134">
        <f t="shared" ca="1" si="117"/>
        <v>0.54710705663777159</v>
      </c>
      <c r="AQ111" s="134">
        <f t="shared" ca="1" si="117"/>
        <v>0.67769917988467632</v>
      </c>
      <c r="AR111" s="134">
        <f t="shared" ca="1" si="117"/>
        <v>0.55857836874882105</v>
      </c>
      <c r="AS111" s="134">
        <f t="shared" ca="1" si="117"/>
        <v>0.62133724539338298</v>
      </c>
      <c r="AT111" s="134">
        <f t="shared" ca="1" si="117"/>
        <v>0.54192748575834471</v>
      </c>
      <c r="AU111" s="134">
        <f t="shared" ca="1" si="117"/>
        <v>0.67333784410399666</v>
      </c>
      <c r="AV111" s="134">
        <f t="shared" ca="1" si="117"/>
        <v>0.55372346770031311</v>
      </c>
      <c r="AW111" s="134">
        <f t="shared" ca="1" si="117"/>
        <v>0.61574664235648824</v>
      </c>
      <c r="AX111" s="134">
        <f t="shared" ca="1" si="117"/>
        <v>0.53672811450925795</v>
      </c>
      <c r="AY111" s="134">
        <f t="shared" ca="1" si="117"/>
        <v>0.66893538054140356</v>
      </c>
      <c r="AZ111" s="134">
        <f t="shared" ca="1" si="117"/>
        <v>0.54884596037811961</v>
      </c>
      <c r="BA111" s="134">
        <f t="shared" ca="1" si="117"/>
        <v>0.61012156048484711</v>
      </c>
      <c r="BB111" s="8" t="s">
        <v>75</v>
      </c>
    </row>
    <row r="112" spans="1:57" x14ac:dyDescent="0.2">
      <c r="V112" s="11"/>
      <c r="Z112" s="11"/>
      <c r="BB112" s="8" t="s">
        <v>75</v>
      </c>
    </row>
    <row r="113" spans="2:54" x14ac:dyDescent="0.2">
      <c r="B113" s="1" t="s">
        <v>573</v>
      </c>
      <c r="C113" s="45" t="s">
        <v>580</v>
      </c>
      <c r="V113" s="113">
        <f>+SUMIFS(Cost!$22:$22,Cost!$3:$3,V$3)</f>
        <v>3.0176666666666669</v>
      </c>
      <c r="W113" s="113">
        <f>+SUMIFS(Cost!$22:$22,Cost!$3:$3,W$3)</f>
        <v>3.1236666666666668</v>
      </c>
      <c r="X113" s="113">
        <f>+SUMIFS(Cost!$22:$22,Cost!$3:$3,X$3)</f>
        <v>3.0219999999999998</v>
      </c>
      <c r="Y113" s="113">
        <f>+SUMIFS(Cost!$22:$22,Cost!$3:$3,Y$3)</f>
        <v>3.0589999999999997</v>
      </c>
      <c r="Z113" s="113">
        <f>+SUMIFS(Cost!$22:$22,Cost!$3:$3,Z$3)</f>
        <v>2.8956666666666671</v>
      </c>
      <c r="AA113" s="113">
        <f>+SUMIFS(Cost!$22:$22,Cost!$3:$3,AA$3)</f>
        <v>2.4309999999999996</v>
      </c>
      <c r="AB113" s="113">
        <f>+SUMIFS(Cost!$22:$22,Cost!$3:$3,AB$3)</f>
        <v>2.4256666666666664</v>
      </c>
      <c r="AC113" s="113">
        <f>+SUMIFS(Cost!$22:$22,Cost!$3:$3,AC$3)</f>
        <v>2.4686666666666666</v>
      </c>
      <c r="AD113" s="113">
        <f>+SUMIFS(Cost!$22:$22,Cost!$3:$3,AD$3)</f>
        <v>2.8933333333333331</v>
      </c>
      <c r="AE113" s="113">
        <f ca="1">+SUMIFS(Cost!$22:$22,Cost!$3:$3,AE$3)</f>
        <v>2.9222666666666663</v>
      </c>
      <c r="AF113" s="113">
        <f ca="1">+SUMIFS(Cost!$22:$22,Cost!$3:$3,AF$3)</f>
        <v>2.951489333333333</v>
      </c>
      <c r="AG113" s="113">
        <f ca="1">+SUMIFS(Cost!$22:$22,Cost!$3:$3,AG$3)</f>
        <v>2.9810042266666663</v>
      </c>
      <c r="AH113" s="113">
        <f ca="1">+SUMIFS(Cost!$22:$22,Cost!$3:$3,AH$3)</f>
        <v>3.0108142689333328</v>
      </c>
      <c r="AI113" s="113">
        <f ca="1">+SUMIFS(Cost!$22:$22,Cost!$3:$3,AI$3)</f>
        <v>3.0409224116226663</v>
      </c>
      <c r="AJ113" s="113">
        <f ca="1">+SUMIFS(Cost!$22:$22,Cost!$3:$3,AJ$3)</f>
        <v>3.0713316357388929</v>
      </c>
      <c r="AK113" s="113">
        <f ca="1">+SUMIFS(Cost!$22:$22,Cost!$3:$3,AK$3)</f>
        <v>3.1020449520962821</v>
      </c>
      <c r="AL113" s="113">
        <f ca="1">+SUMIFS(Cost!$22:$22,Cost!$3:$3,AL$3)</f>
        <v>3.133065401617245</v>
      </c>
      <c r="AM113" s="113">
        <f ca="1">+SUMIFS(Cost!$22:$22,Cost!$3:$3,AM$3)</f>
        <v>3.1643960556334174</v>
      </c>
      <c r="AN113" s="113">
        <f ca="1">+SUMIFS(Cost!$22:$22,Cost!$3:$3,AN$3)</f>
        <v>3.1960400161897518</v>
      </c>
      <c r="AO113" s="113">
        <f ca="1">+SUMIFS(Cost!$22:$22,Cost!$3:$3,AO$3)</f>
        <v>3.2280004163516494</v>
      </c>
      <c r="AP113" s="113">
        <f ca="1">+SUMIFS(Cost!$22:$22,Cost!$3:$3,AP$3)</f>
        <v>3.2602804205151661</v>
      </c>
      <c r="AQ113" s="113">
        <f ca="1">+SUMIFS(Cost!$22:$22,Cost!$3:$3,AQ$3)</f>
        <v>3.2928832247203177</v>
      </c>
      <c r="AR113" s="113">
        <f ca="1">+SUMIFS(Cost!$22:$22,Cost!$3:$3,AR$3)</f>
        <v>3.3258120569675209</v>
      </c>
      <c r="AS113" s="113">
        <f ca="1">+SUMIFS(Cost!$22:$22,Cost!$3:$3,AS$3)</f>
        <v>3.3590701775371961</v>
      </c>
      <c r="AT113" s="113">
        <f ca="1">+SUMIFS(Cost!$22:$22,Cost!$3:$3,AT$3)</f>
        <v>3.3926608793125679</v>
      </c>
      <c r="AU113" s="113">
        <f ca="1">+SUMIFS(Cost!$22:$22,Cost!$3:$3,AU$3)</f>
        <v>3.4265874881056937</v>
      </c>
      <c r="AV113" s="113">
        <f ca="1">+SUMIFS(Cost!$22:$22,Cost!$3:$3,AV$3)</f>
        <v>3.4608533629867506</v>
      </c>
      <c r="AW113" s="113">
        <f ca="1">+SUMIFS(Cost!$22:$22,Cost!$3:$3,AW$3)</f>
        <v>3.495461896616618</v>
      </c>
      <c r="AX113" s="113">
        <f ca="1">+SUMIFS(Cost!$22:$22,Cost!$3:$3,AX$3)</f>
        <v>3.5304165155827842</v>
      </c>
      <c r="AY113" s="113">
        <f ca="1">+SUMIFS(Cost!$22:$22,Cost!$3:$3,AY$3)</f>
        <v>3.5657206807386119</v>
      </c>
      <c r="AZ113" s="113">
        <f ca="1">+SUMIFS(Cost!$22:$22,Cost!$3:$3,AZ$3)</f>
        <v>3.6013778875459979</v>
      </c>
      <c r="BA113" s="113">
        <f ca="1">+SUMIFS(Cost!$22:$22,Cost!$3:$3,BA$3)</f>
        <v>3.6373916664214581</v>
      </c>
      <c r="BB113" s="8" t="s">
        <v>75</v>
      </c>
    </row>
    <row r="114" spans="2:54" x14ac:dyDescent="0.2">
      <c r="B114" s="1" t="s">
        <v>570</v>
      </c>
      <c r="C114" s="45" t="s">
        <v>571</v>
      </c>
      <c r="V114" s="63">
        <f ca="1">+V16/SUMIFS(Cost!$27:$27,Cost!$3:$3,V$3)/1000</f>
        <v>0.577882372780959</v>
      </c>
      <c r="W114" s="63">
        <f ca="1">+W16/SUMIFS(Cost!$27:$27,Cost!$3:$3,W$3)/1000</f>
        <v>0.55016537710305924</v>
      </c>
      <c r="X114" s="63">
        <f ca="1">+X16/SUMIFS(Cost!$27:$27,Cost!$3:$3,X$3)/1000</f>
        <v>0.53913008632921888</v>
      </c>
      <c r="Y114" s="63">
        <f ca="1">+Y16/SUMIFS(Cost!$27:$27,Cost!$3:$3,Y$3)/1000</f>
        <v>0.28400370917538675</v>
      </c>
      <c r="Z114" s="63">
        <f ca="1">+Z16/SUMIFS(Cost!$27:$27,Cost!$3:$3,Z$3)/1000</f>
        <v>0.4093745416767619</v>
      </c>
      <c r="AA114" s="63">
        <f ca="1">+AA16/SUMIFS(Cost!$27:$27,Cost!$3:$3,AA$3)/1000</f>
        <v>0.45770509825558048</v>
      </c>
      <c r="AB114" s="63">
        <f ca="1">+AB16/SUMIFS(Cost!$27:$27,Cost!$3:$3,AB$3)/1000</f>
        <v>0.39338423696406949</v>
      </c>
      <c r="AC114" s="63">
        <f ca="1">+AC16/SUMIFS(Cost!$27:$27,Cost!$3:$3,AC$3)/1000</f>
        <v>0.19401355713418275</v>
      </c>
      <c r="AD114" s="63">
        <f ca="1">+AD16/SUMIFS(Cost!$27:$27,Cost!$3:$3,AD$3)/1000</f>
        <v>0.45857838792723443</v>
      </c>
      <c r="AE114" s="63">
        <f ca="1">+AE16/SUMIFS(Cost!$27:$27,Cost!$3:$3,AE$3)/1000</f>
        <v>0.53406423769350453</v>
      </c>
      <c r="AF114" s="63">
        <f ca="1">+AF16/SUMIFS(Cost!$27:$27,Cost!$3:$3,AF$3)/1000</f>
        <v>0.45600006251324288</v>
      </c>
      <c r="AG114" s="63">
        <f ca="1">+AG16/SUMIFS(Cost!$27:$27,Cost!$3:$3,AG$3)/1000</f>
        <v>0.23510914309766937</v>
      </c>
      <c r="AH114" s="63">
        <f ca="1">+AH16/SUMIFS(Cost!$27:$27,Cost!$3:$3,AH$3)/1000</f>
        <v>0.47620950101713833</v>
      </c>
      <c r="AI114" s="63">
        <f ca="1">+AI16/SUMIFS(Cost!$27:$27,Cost!$3:$3,AI$3)/1000</f>
        <v>0.55292241676817222</v>
      </c>
      <c r="AJ114" s="63">
        <f ca="1">+AJ16/SUMIFS(Cost!$27:$27,Cost!$3:$3,AJ$3)/1000</f>
        <v>0.47198103900697258</v>
      </c>
      <c r="AK114" s="63">
        <f ca="1">+AK16/SUMIFS(Cost!$27:$27,Cost!$3:$3,AK$3)/1000</f>
        <v>0.24607359646846205</v>
      </c>
      <c r="AL114" s="63">
        <f ca="1">+AL16/SUMIFS(Cost!$27:$27,Cost!$3:$3,AL$3)/1000</f>
        <v>0.486108194403996</v>
      </c>
      <c r="AM114" s="63">
        <f ca="1">+AM16/SUMIFS(Cost!$27:$27,Cost!$3:$3,AM$3)/1000</f>
        <v>0.56377417101058602</v>
      </c>
      <c r="AN114" s="63">
        <f ca="1">+AN16/SUMIFS(Cost!$27:$27,Cost!$3:$3,AN$3)/1000</f>
        <v>0.48119785864530229</v>
      </c>
      <c r="AO114" s="63">
        <f ca="1">+AO16/SUMIFS(Cost!$27:$27,Cost!$3:$3,AO$3)/1000</f>
        <v>0.25192584369694915</v>
      </c>
      <c r="AP114" s="63">
        <f ca="1">+AP16/SUMIFS(Cost!$27:$27,Cost!$3:$3,AP$3)/1000</f>
        <v>0.49623428968413918</v>
      </c>
      <c r="AQ114" s="63">
        <f ca="1">+AQ16/SUMIFS(Cost!$27:$27,Cost!$3:$3,AQ$3)/1000</f>
        <v>0.57486750604729231</v>
      </c>
      <c r="AR114" s="63">
        <f ca="1">+AR16/SUMIFS(Cost!$27:$27,Cost!$3:$3,AR$3)/1000</f>
        <v>0.49061927171122205</v>
      </c>
      <c r="AS114" s="63">
        <f ca="1">+AS16/SUMIFS(Cost!$27:$27,Cost!$3:$3,AS$3)/1000</f>
        <v>0.25792140117931628</v>
      </c>
      <c r="AT114" s="63">
        <f ca="1">+AT16/SUMIFS(Cost!$27:$27,Cost!$3:$3,AT$3)/1000</f>
        <v>0.50659327125048659</v>
      </c>
      <c r="AU114" s="63">
        <f ca="1">+AU16/SUMIFS(Cost!$27:$27,Cost!$3:$3,AU$3)/1000</f>
        <v>0.58620816426753075</v>
      </c>
      <c r="AV114" s="63">
        <f ca="1">+AV16/SUMIFS(Cost!$27:$27,Cost!$3:$3,AV$3)/1000</f>
        <v>0.50025013476978764</v>
      </c>
      <c r="AW114" s="63">
        <f ca="1">+AW16/SUMIFS(Cost!$27:$27,Cost!$3:$3,AW$3)/1000</f>
        <v>0.26406382171264192</v>
      </c>
      <c r="AX114" s="63">
        <f ca="1">+AX16/SUMIFS(Cost!$27:$27,Cost!$3:$3,AX$3)/1000</f>
        <v>0.51719075859923502</v>
      </c>
      <c r="AY114" s="63">
        <f ca="1">+AY16/SUMIFS(Cost!$27:$27,Cost!$3:$3,AY$3)/1000</f>
        <v>0.59780202864896559</v>
      </c>
      <c r="AZ114" s="63">
        <f ca="1">+AZ16/SUMIFS(Cost!$27:$27,Cost!$3:$3,AZ$3)/1000</f>
        <v>0.51009542321747503</v>
      </c>
      <c r="BA114" s="63">
        <f ca="1">+BA16/SUMIFS(Cost!$27:$27,Cost!$3:$3,BA$3)/1000</f>
        <v>0.27035674661433923</v>
      </c>
      <c r="BB114" s="8" t="s">
        <v>75</v>
      </c>
    </row>
    <row r="115" spans="2:54" x14ac:dyDescent="0.2">
      <c r="B115" s="1" t="s">
        <v>572</v>
      </c>
      <c r="C115" s="45" t="s">
        <v>164</v>
      </c>
      <c r="V115" s="11">
        <f ca="1">-V113*V114</f>
        <v>-1.7438563735953407</v>
      </c>
      <c r="W115" s="11">
        <f t="shared" ref="W115:AC115" ca="1" si="118">-W113*W114</f>
        <v>-1.7185332496109227</v>
      </c>
      <c r="X115" s="11">
        <f t="shared" ca="1" si="118"/>
        <v>-1.6292511208868994</v>
      </c>
      <c r="Y115" s="11">
        <f t="shared" ca="1" si="118"/>
        <v>-0.86876734636750796</v>
      </c>
      <c r="Z115" s="11">
        <f t="shared" ca="1" si="118"/>
        <v>-1.1854122145153436</v>
      </c>
      <c r="AA115" s="11">
        <f t="shared" ca="1" si="118"/>
        <v>-1.1126810938593159</v>
      </c>
      <c r="AB115" s="11">
        <f t="shared" ca="1" si="118"/>
        <v>-0.95421903079584447</v>
      </c>
      <c r="AC115" s="11">
        <f t="shared" ca="1" si="118"/>
        <v>-0.47895480137858581</v>
      </c>
      <c r="AD115" s="11">
        <f t="shared" ref="AD115" ca="1" si="119">-AD113*AD114</f>
        <v>-1.3268201357361316</v>
      </c>
      <c r="AE115" s="11">
        <f t="shared" ref="AE115" ca="1" si="120">-AE113*AE114</f>
        <v>-1.5606781196704718</v>
      </c>
      <c r="AF115" s="11">
        <f t="shared" ref="AF115" ca="1" si="121">-AF113*AF114</f>
        <v>-1.3458793205071693</v>
      </c>
      <c r="AG115" s="11">
        <f t="shared" ref="AG115" ca="1" si="122">-AG113*AG114</f>
        <v>-0.7008613493021304</v>
      </c>
      <c r="AH115" s="11">
        <f t="shared" ref="AH115" ca="1" si="123">-AH113*AH114</f>
        <v>-1.4337783606640226</v>
      </c>
      <c r="AI115" s="11">
        <f t="shared" ref="AI115" ca="1" si="124">-AI113*AI114</f>
        <v>-1.6813941690389032</v>
      </c>
      <c r="AJ115" s="11">
        <f t="shared" ref="AJ115" ca="1" si="125">-AJ113*AJ114</f>
        <v>-1.4496102965710274</v>
      </c>
      <c r="AK115" s="11">
        <f t="shared" ref="AK115" ca="1" si="126">-AK113*AK114</f>
        <v>-0.76333135776917016</v>
      </c>
      <c r="AL115" s="11">
        <f t="shared" ref="AL115" ca="1" si="127">-AL113*AL114</f>
        <v>-1.5230087653297895</v>
      </c>
      <c r="AM115" s="11">
        <f t="shared" ref="AM115" ca="1" si="128">-AM113*AM114</f>
        <v>-1.7840047630138982</v>
      </c>
      <c r="AN115" s="11">
        <f t="shared" ref="AN115" ca="1" si="129">-AN113*AN114</f>
        <v>-1.5379276119352059</v>
      </c>
      <c r="AO115" s="11">
        <f t="shared" ref="AO115" ca="1" si="130">-AO113*AO114</f>
        <v>-0.81321672834349235</v>
      </c>
      <c r="AP115" s="11">
        <f t="shared" ref="AP115" ca="1" si="131">-AP113*AP114</f>
        <v>-1.6178629386454499</v>
      </c>
      <c r="AQ115" s="11">
        <f t="shared" ref="AQ115" ca="1" si="132">-AQ113*AQ114</f>
        <v>-1.8929715670999345</v>
      </c>
      <c r="AR115" s="11">
        <f t="shared" ref="AR115" ca="1" si="133">-AR113*AR114</f>
        <v>-1.6317074892378065</v>
      </c>
      <c r="AS115" s="11">
        <f t="shared" ref="AS115" ca="1" si="134">-AS113*AS114</f>
        <v>-0.8663760868500483</v>
      </c>
      <c r="AT115" s="11">
        <f t="shared" ref="AT115" ca="1" si="135">-AT113*AT114</f>
        <v>-1.718699173094506</v>
      </c>
      <c r="AU115" s="11">
        <f t="shared" ref="AU115" ca="1" si="136">-AU113*AU114</f>
        <v>-2.0086935611045282</v>
      </c>
      <c r="AV115" s="11">
        <f t="shared" ref="AV115" ca="1" si="137">-AV113*AV114</f>
        <v>-1.7312923612525948</v>
      </c>
      <c r="AW115" s="11">
        <f t="shared" ref="AW115" ca="1" si="138">-AW113*AW114</f>
        <v>-0.9230250270715038</v>
      </c>
      <c r="AX115" s="11">
        <f t="shared" ref="AX115" ca="1" si="139">-AX113*AX114</f>
        <v>-1.8258987958655282</v>
      </c>
      <c r="AY115" s="11">
        <f t="shared" ref="AY115" ca="1" si="140">-AY113*AY114</f>
        <v>-2.1315950565411126</v>
      </c>
      <c r="AZ115" s="11">
        <f t="shared" ref="AZ115" ca="1" si="141">-AZ113*AZ114</f>
        <v>-1.8370463777138319</v>
      </c>
      <c r="BA115" s="11">
        <f t="shared" ref="BA115" ca="1" si="142">-BA113*BA114</f>
        <v>-0.9833933770958152</v>
      </c>
      <c r="BB115" s="8" t="s">
        <v>75</v>
      </c>
    </row>
    <row r="116" spans="2:54" x14ac:dyDescent="0.2">
      <c r="B116" s="1" t="s">
        <v>574</v>
      </c>
      <c r="C116" s="45" t="s">
        <v>164</v>
      </c>
      <c r="V116" s="11">
        <f t="shared" ref="V116:AC116" ca="1" si="143">+V109-V115</f>
        <v>-2.3716449279100837</v>
      </c>
      <c r="W116" s="11">
        <f t="shared" ca="1" si="143"/>
        <v>-0.83084911432944186</v>
      </c>
      <c r="X116" s="11">
        <f t="shared" ca="1" si="143"/>
        <v>-2.1249357791042023</v>
      </c>
      <c r="Y116" s="11">
        <f t="shared" ca="1" si="143"/>
        <v>-1.7825354732442729</v>
      </c>
      <c r="Z116" s="11">
        <f t="shared" ca="1" si="143"/>
        <v>-4.1141965926109894</v>
      </c>
      <c r="AA116" s="11">
        <f t="shared" ca="1" si="143"/>
        <v>-5.5564348385294817</v>
      </c>
      <c r="AB116" s="11">
        <f t="shared" ca="1" si="143"/>
        <v>-4.5405782885345438</v>
      </c>
      <c r="AC116" s="11">
        <f t="shared" ca="1" si="143"/>
        <v>-4.9584536587763317</v>
      </c>
      <c r="AD116" s="11">
        <f t="shared" ref="AD116:BA116" ca="1" si="144">-AD118*AD16/1000</f>
        <v>-4.431193667568917</v>
      </c>
      <c r="AE116" s="11">
        <f t="shared" ca="1" si="144"/>
        <v>-6.0267091289302765</v>
      </c>
      <c r="AF116" s="11">
        <f t="shared" ca="1" si="144"/>
        <v>-4.9278037140029207</v>
      </c>
      <c r="AG116" s="11">
        <f t="shared" ca="1" si="144"/>
        <v>-5.2447360100939342</v>
      </c>
      <c r="AH116" s="11">
        <f t="shared" ca="1" si="144"/>
        <v>-3.7432308921509327</v>
      </c>
      <c r="AI116" s="11">
        <f t="shared" ca="1" si="144"/>
        <v>-3.4978045660916872</v>
      </c>
      <c r="AJ116" s="11">
        <f t="shared" ca="1" si="144"/>
        <v>-3.9828846099780706</v>
      </c>
      <c r="AK116" s="11">
        <f t="shared" ca="1" si="144"/>
        <v>-4.0468744453674121</v>
      </c>
      <c r="AL116" s="11">
        <f t="shared" ca="1" si="144"/>
        <v>-3.1082999020383766</v>
      </c>
      <c r="AM116" s="11">
        <f t="shared" ca="1" si="144"/>
        <v>-1.9993145504192753</v>
      </c>
      <c r="AN116" s="11">
        <f t="shared" ca="1" si="144"/>
        <v>-3.1708926012061744</v>
      </c>
      <c r="AO116" s="11">
        <f t="shared" ca="1" si="144"/>
        <v>-3.0544149369127238</v>
      </c>
      <c r="AP116" s="11">
        <f t="shared" ca="1" si="144"/>
        <v>-2.5811791922117737</v>
      </c>
      <c r="AQ116" s="11">
        <f t="shared" ca="1" si="144"/>
        <v>-1.1428476028433343</v>
      </c>
      <c r="AR116" s="11">
        <f t="shared" ca="1" si="144"/>
        <v>-2.5245682972698615</v>
      </c>
      <c r="AS116" s="11">
        <f t="shared" ca="1" si="144"/>
        <v>-2.3053840916133215</v>
      </c>
      <c r="AT116" s="11">
        <f t="shared" ca="1" si="144"/>
        <v>-2.7404642511876927</v>
      </c>
      <c r="AU116" s="11">
        <f t="shared" ca="1" si="144"/>
        <v>-1.2120087703392195</v>
      </c>
      <c r="AV116" s="11">
        <f t="shared" ca="1" si="144"/>
        <v>-2.6770906320118164</v>
      </c>
      <c r="AW116" s="11">
        <f t="shared" ca="1" si="144"/>
        <v>-2.4546984941999881</v>
      </c>
      <c r="AX116" s="11">
        <f t="shared" ca="1" si="144"/>
        <v>-2.9097040565634349</v>
      </c>
      <c r="AY116" s="11">
        <f t="shared" ca="1" si="144"/>
        <v>-1.2854187294655277</v>
      </c>
      <c r="AZ116" s="11">
        <f t="shared" ca="1" si="144"/>
        <v>-2.8389688425336961</v>
      </c>
      <c r="BA116" s="11">
        <f t="shared" ca="1" si="144"/>
        <v>-2.6137244636054011</v>
      </c>
      <c r="BB116" s="8" t="s">
        <v>75</v>
      </c>
    </row>
    <row r="117" spans="2:54" x14ac:dyDescent="0.2">
      <c r="BB117" s="8" t="s">
        <v>75</v>
      </c>
    </row>
    <row r="118" spans="2:54" x14ac:dyDescent="0.2">
      <c r="B118" s="1" t="s">
        <v>582</v>
      </c>
      <c r="C118" s="45" t="s">
        <v>581</v>
      </c>
      <c r="D118" s="271"/>
      <c r="G118" s="92">
        <f t="shared" ref="G118:N118" ca="1" si="145">+AVERAGEIFS(118:118,$6:$6,G$3)</f>
        <v>3.8696393162195646</v>
      </c>
      <c r="H118" s="92">
        <f t="shared" ca="1" si="145"/>
        <v>11.817408122520309</v>
      </c>
      <c r="I118" s="92">
        <f t="shared" ca="1" si="145"/>
        <v>11.817408122520309</v>
      </c>
      <c r="J118" s="92">
        <f t="shared" ca="1" si="145"/>
        <v>8.5870135757623594</v>
      </c>
      <c r="K118" s="92">
        <f t="shared" ca="1" si="145"/>
        <v>6.3232446684640102</v>
      </c>
      <c r="L118" s="92">
        <f t="shared" ca="1" si="145"/>
        <v>4.7080079053196862</v>
      </c>
      <c r="M118" s="92">
        <f t="shared" ca="1" si="145"/>
        <v>4.8963282215324737</v>
      </c>
      <c r="N118" s="92">
        <f t="shared" ca="1" si="145"/>
        <v>5.0921813503937727</v>
      </c>
      <c r="V118" s="92">
        <f t="shared" ref="V118:AC118" ca="1" si="146">-V116*1000/V16</f>
        <v>3.9899750158205647</v>
      </c>
      <c r="W118" s="92">
        <f t="shared" ca="1" si="146"/>
        <v>1.2615170213012274</v>
      </c>
      <c r="X118" s="92">
        <f t="shared" ca="1" si="146"/>
        <v>3.1465247413441877</v>
      </c>
      <c r="Y118" s="92">
        <f t="shared" ca="1" si="146"/>
        <v>7.0805404864122776</v>
      </c>
      <c r="Z118" s="92">
        <f t="shared" ca="1" si="146"/>
        <v>9.0180499434688492</v>
      </c>
      <c r="AA118" s="92">
        <f t="shared" ca="1" si="146"/>
        <v>8.7121628455425686</v>
      </c>
      <c r="AB118" s="92">
        <f t="shared" ca="1" si="146"/>
        <v>8.0397737091491059</v>
      </c>
      <c r="AC118" s="92">
        <f t="shared" ca="1" si="146"/>
        <v>21.499645991920715</v>
      </c>
      <c r="AD118" s="92">
        <f ca="1">+Z118*(1+AD119)</f>
        <v>9.0180499434688492</v>
      </c>
      <c r="AE118" s="92">
        <f t="shared" ref="AE118:BA118" ca="1" si="147">+AA118*(1+AE119)</f>
        <v>8.7121628455425686</v>
      </c>
      <c r="AF118" s="92">
        <f t="shared" ca="1" si="147"/>
        <v>8.0397737091491059</v>
      </c>
      <c r="AG118" s="92">
        <f t="shared" ca="1" si="147"/>
        <v>21.499645991920715</v>
      </c>
      <c r="AH118" s="92">
        <f t="shared" ca="1" si="147"/>
        <v>7.3359109083665537</v>
      </c>
      <c r="AI118" s="92">
        <f t="shared" ca="1" si="147"/>
        <v>4.883943075748304</v>
      </c>
      <c r="AJ118" s="92">
        <f t="shared" ca="1" si="147"/>
        <v>6.2781039057902621</v>
      </c>
      <c r="AK118" s="92">
        <f t="shared" ca="1" si="147"/>
        <v>15.850096413144318</v>
      </c>
      <c r="AL118" s="92">
        <f t="shared" ca="1" si="147"/>
        <v>5.9675416739587153</v>
      </c>
      <c r="AM118" s="92">
        <f t="shared" ca="1" si="147"/>
        <v>2.7378849994010084</v>
      </c>
      <c r="AN118" s="92">
        <f t="shared" ca="1" si="147"/>
        <v>4.9024500039156464</v>
      </c>
      <c r="AO118" s="92">
        <f t="shared" ca="1" si="147"/>
        <v>11.685101996580672</v>
      </c>
      <c r="AP118" s="92">
        <f t="shared" ca="1" si="147"/>
        <v>4.8544146835015765</v>
      </c>
      <c r="AQ118" s="92">
        <f t="shared" ca="1" si="147"/>
        <v>1.5348283453931415</v>
      </c>
      <c r="AR118" s="92">
        <f t="shared" ca="1" si="147"/>
        <v>3.8282284590298157</v>
      </c>
      <c r="AS118" s="92">
        <f t="shared" ca="1" si="147"/>
        <v>8.6145601333542103</v>
      </c>
      <c r="AT118" s="92">
        <f t="shared" ca="1" si="147"/>
        <v>5.0485912708416398</v>
      </c>
      <c r="AU118" s="92">
        <f t="shared" ca="1" si="147"/>
        <v>1.5962214792088671</v>
      </c>
      <c r="AV118" s="92">
        <f t="shared" ca="1" si="147"/>
        <v>3.9813575973910083</v>
      </c>
      <c r="AW118" s="92">
        <f t="shared" ca="1" si="147"/>
        <v>8.9591425386883792</v>
      </c>
      <c r="AX118" s="92">
        <f t="shared" ca="1" si="147"/>
        <v>5.2505349216753059</v>
      </c>
      <c r="AY118" s="92">
        <f t="shared" ca="1" si="147"/>
        <v>1.660070338377222</v>
      </c>
      <c r="AZ118" s="92">
        <f t="shared" ca="1" si="147"/>
        <v>4.1406119012866487</v>
      </c>
      <c r="BA118" s="92">
        <f t="shared" ca="1" si="147"/>
        <v>9.3175082402359148</v>
      </c>
      <c r="BB118" s="8" t="s">
        <v>75</v>
      </c>
    </row>
    <row r="119" spans="2:54" x14ac:dyDescent="0.2">
      <c r="B119" s="26" t="s">
        <v>575</v>
      </c>
      <c r="C119" s="116" t="s">
        <v>177</v>
      </c>
      <c r="D119" s="25"/>
      <c r="E119" s="25"/>
      <c r="F119" s="25"/>
      <c r="G119" s="25"/>
      <c r="H119" s="285"/>
      <c r="I119" s="285"/>
      <c r="J119" s="28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80"/>
      <c r="W119" s="281"/>
      <c r="X119" s="281"/>
      <c r="Y119" s="281"/>
      <c r="Z119" s="30">
        <f t="shared" ref="Z119:AB119" ca="1" si="148">+Z118/V118-1</f>
        <v>1.2601770456485495</v>
      </c>
      <c r="AA119" s="30">
        <f t="shared" ca="1" si="148"/>
        <v>5.9061001147302488</v>
      </c>
      <c r="AB119" s="30">
        <f t="shared" ca="1" si="148"/>
        <v>1.5551280762262603</v>
      </c>
      <c r="AC119" s="30">
        <f ca="1">+AC118/Y118-1</f>
        <v>2.0364413611049943</v>
      </c>
      <c r="AD119" s="86">
        <f ca="1">+SUMIFS(Drivers!$36:$36,Drivers!$3:$3,North!AD$3)</f>
        <v>0</v>
      </c>
      <c r="AE119" s="86">
        <f ca="1">+SUMIFS(Drivers!$36:$36,Drivers!$3:$3,North!AE$3)</f>
        <v>0</v>
      </c>
      <c r="AF119" s="86">
        <f ca="1">+SUMIFS(Drivers!$36:$36,Drivers!$3:$3,North!AF$3)</f>
        <v>0</v>
      </c>
      <c r="AG119" s="86">
        <f ca="1">+SUMIFS(Drivers!$36:$36,Drivers!$3:$3,North!AG$3)</f>
        <v>0</v>
      </c>
      <c r="AH119" s="86">
        <f ca="1">+SUMIFS(Drivers!$36:$36,Drivers!$3:$3,North!AH$3)</f>
        <v>-0.1865302416428235</v>
      </c>
      <c r="AI119" s="86">
        <f ca="1">+SUMIFS(Drivers!$36:$36,Drivers!$3:$3,North!AI$3)</f>
        <v>-0.43941095198339974</v>
      </c>
      <c r="AJ119" s="86">
        <f ca="1">+SUMIFS(Drivers!$36:$36,Drivers!$3:$3,North!AJ$3)</f>
        <v>-0.21911932687285685</v>
      </c>
      <c r="AK119" s="86">
        <f ca="1">+SUMIFS(Drivers!$36:$36,Drivers!$3:$3,North!AK$3)</f>
        <v>-0.26277407455450308</v>
      </c>
      <c r="AL119" s="86">
        <f ca="1">+SUMIFS(Drivers!$36:$36,Drivers!$3:$3,North!AL$3)</f>
        <v>-0.1865302416428235</v>
      </c>
      <c r="AM119" s="86">
        <f ca="1">+SUMIFS(Drivers!$36:$36,Drivers!$3:$3,North!AM$3)</f>
        <v>-0.43941095198339974</v>
      </c>
      <c r="AN119" s="86">
        <f ca="1">+SUMIFS(Drivers!$36:$36,Drivers!$3:$3,North!AN$3)</f>
        <v>-0.21911932687285685</v>
      </c>
      <c r="AO119" s="86">
        <f ca="1">+SUMIFS(Drivers!$36:$36,Drivers!$3:$3,North!AO$3)</f>
        <v>-0.26277407455450308</v>
      </c>
      <c r="AP119" s="86">
        <f ca="1">+SUMIFS(Drivers!$36:$36,Drivers!$3:$3,North!AP$3)</f>
        <v>-0.1865302416428235</v>
      </c>
      <c r="AQ119" s="86">
        <f ca="1">+SUMIFS(Drivers!$36:$36,Drivers!$3:$3,North!AQ$3)</f>
        <v>-0.43941095198339974</v>
      </c>
      <c r="AR119" s="86">
        <f ca="1">+SUMIFS(Drivers!$36:$36,Drivers!$3:$3,North!AR$3)</f>
        <v>-0.21911932687285685</v>
      </c>
      <c r="AS119" s="86">
        <f ca="1">+SUMIFS(Drivers!$36:$36,Drivers!$3:$3,North!AS$3)</f>
        <v>-0.26277407455450308</v>
      </c>
      <c r="AT119" s="86">
        <f ca="1">+SUMIFS(Drivers!$36:$36,Drivers!$3:$3,North!AT$3)</f>
        <v>0.04</v>
      </c>
      <c r="AU119" s="86">
        <f ca="1">+SUMIFS(Drivers!$36:$36,Drivers!$3:$3,North!AU$3)</f>
        <v>0.04</v>
      </c>
      <c r="AV119" s="86">
        <f ca="1">+SUMIFS(Drivers!$36:$36,Drivers!$3:$3,North!AV$3)</f>
        <v>0.04</v>
      </c>
      <c r="AW119" s="86">
        <f ca="1">+SUMIFS(Drivers!$36:$36,Drivers!$3:$3,North!AW$3)</f>
        <v>0.04</v>
      </c>
      <c r="AX119" s="86">
        <f ca="1">+SUMIFS(Drivers!$36:$36,Drivers!$3:$3,North!AX$3)</f>
        <v>0.04</v>
      </c>
      <c r="AY119" s="86">
        <f ca="1">+SUMIFS(Drivers!$36:$36,Drivers!$3:$3,North!AY$3)</f>
        <v>0.04</v>
      </c>
      <c r="AZ119" s="86">
        <f ca="1">+SUMIFS(Drivers!$36:$36,Drivers!$3:$3,North!AZ$3)</f>
        <v>0.04</v>
      </c>
      <c r="BA119" s="86">
        <f ca="1">+SUMIFS(Drivers!$36:$36,Drivers!$3:$3,North!BA$3)</f>
        <v>0.04</v>
      </c>
      <c r="BB119" s="88" t="s">
        <v>75</v>
      </c>
    </row>
    <row r="120" spans="2:54" x14ac:dyDescent="0.2">
      <c r="V120" s="169"/>
      <c r="W120" s="169"/>
      <c r="X120" s="169"/>
      <c r="Y120" s="169"/>
    </row>
    <row r="121" spans="2:54" x14ac:dyDescent="0.2">
      <c r="AD121" s="169"/>
      <c r="AE121" s="169"/>
      <c r="AF121" s="169"/>
      <c r="AG121" s="169"/>
    </row>
    <row r="122" spans="2:54" x14ac:dyDescent="0.2">
      <c r="V122" s="169"/>
      <c r="W122" s="169"/>
      <c r="X122" s="169"/>
      <c r="Y122" s="169"/>
      <c r="Z122" s="169"/>
      <c r="AA122" s="169"/>
      <c r="AB122" s="169"/>
      <c r="AC122" s="169"/>
      <c r="AD122" s="169"/>
      <c r="AE122" s="169"/>
      <c r="AF122" s="169"/>
      <c r="AG122" s="169"/>
    </row>
    <row r="123" spans="2:54" x14ac:dyDescent="0.2">
      <c r="V123" s="169"/>
      <c r="W123" s="169"/>
      <c r="X123" s="169"/>
      <c r="Y123" s="169"/>
      <c r="Z123" s="169"/>
      <c r="AA123" s="169"/>
      <c r="AB123" s="169"/>
      <c r="AC123" s="169"/>
      <c r="AD123" s="169"/>
      <c r="AE123" s="169"/>
      <c r="AF123" s="169"/>
      <c r="AG123" s="169"/>
      <c r="AH123" s="169"/>
      <c r="AI123" s="169"/>
      <c r="AJ123" s="169"/>
      <c r="AK123" s="169"/>
      <c r="AL123" s="169"/>
      <c r="AM123" s="169"/>
      <c r="AN123" s="169"/>
      <c r="AO123" s="169"/>
      <c r="AP123" s="169"/>
      <c r="AQ123" s="169"/>
      <c r="AR123" s="169"/>
      <c r="AS123" s="169"/>
      <c r="AT123" s="169"/>
      <c r="AU123" s="169"/>
      <c r="AV123" s="169"/>
      <c r="AW123" s="169"/>
    </row>
    <row r="124" spans="2:54" x14ac:dyDescent="0.2">
      <c r="AP124" s="169"/>
      <c r="AQ124" s="169"/>
      <c r="AR124" s="169"/>
      <c r="AS124" s="169"/>
      <c r="AT124" s="169"/>
      <c r="AU124" s="169"/>
      <c r="AV124" s="169"/>
      <c r="AW124" s="169"/>
    </row>
  </sheetData>
  <conditionalFormatting sqref="C1">
    <cfRule type="cellIs" dxfId="19" priority="2" operator="equal">
      <formula>"OK"</formula>
    </cfRule>
  </conditionalFormatting>
  <conditionalFormatting sqref="C1">
    <cfRule type="cellIs" dxfId="18" priority="1" operator="equal">
      <formula>"CHECK"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5</vt:i4>
      </vt:variant>
    </vt:vector>
  </HeadingPairs>
  <TitlesOfParts>
    <vt:vector size="24" baseType="lpstr">
      <vt:lpstr>Ctrl</vt:lpstr>
      <vt:lpstr>Summary</vt:lpstr>
      <vt:lpstr>Valuation</vt:lpstr>
      <vt:lpstr>Financials</vt:lpstr>
      <vt:lpstr>Debt</vt:lpstr>
      <vt:lpstr>Segments</vt:lpstr>
      <vt:lpstr>Segments USD</vt:lpstr>
      <vt:lpstr>North</vt:lpstr>
      <vt:lpstr>South</vt:lpstr>
      <vt:lpstr>Costal Nav</vt:lpstr>
      <vt:lpstr>Santos</vt:lpstr>
      <vt:lpstr>Growth</vt:lpstr>
      <vt:lpstr>Drivers</vt:lpstr>
      <vt:lpstr>Contract CF</vt:lpstr>
      <vt:lpstr>Macro</vt:lpstr>
      <vt:lpstr>Financing</vt:lpstr>
      <vt:lpstr>FX</vt:lpstr>
      <vt:lpstr>Stock</vt:lpstr>
      <vt:lpstr>Cost</vt:lpstr>
      <vt:lpstr>Circ</vt:lpstr>
      <vt:lpstr>inflation</vt:lpstr>
      <vt:lpstr>SaltG</vt:lpstr>
      <vt:lpstr>SharePrice</vt:lpstr>
      <vt:lpstr>TaxRate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klein</dc:creator>
  <cp:lastModifiedBy>Joe Klein</cp:lastModifiedBy>
  <dcterms:created xsi:type="dcterms:W3CDTF">2021-03-26T11:35:10Z</dcterms:created>
  <dcterms:modified xsi:type="dcterms:W3CDTF">2021-04-12T23:45:05Z</dcterms:modified>
</cp:coreProperties>
</file>