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Observation" sheetId="2" r:id="rId5"/>
    <sheet state="visible" name="Analysis" sheetId="3" r:id="rId6"/>
    <sheet state="visible" name="Dashboard" sheetId="4" r:id="rId7"/>
    <sheet state="visible" name="Raw Data (Do not touch)" sheetId="5" r:id="rId8"/>
    <sheet state="visible" name="Confidence Interval Calculation" sheetId="6" r:id="rId9"/>
  </sheets>
  <definedNames/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<sst xmlns="http://schemas.openxmlformats.org/spreadsheetml/2006/main" count="2240" uniqueCount="129">
  <si>
    <t>Age Segment</t>
  </si>
  <si>
    <t>Order Ranking</t>
  </si>
  <si>
    <t>Ranking Value</t>
  </si>
  <si>
    <t>RANK</t>
  </si>
  <si>
    <t>Cause of Death</t>
  </si>
  <si>
    <t>Number</t>
  </si>
  <si>
    <t>Percent of Total Deaths</t>
  </si>
  <si>
    <t>Rate</t>
  </si>
  <si>
    <t>Sex Segment</t>
  </si>
  <si>
    <t>Rate Modified</t>
  </si>
  <si>
    <t>Age Segment Category</t>
  </si>
  <si>
    <t>Total Population</t>
  </si>
  <si>
    <t>...</t>
  </si>
  <si>
    <t>All causes</t>
  </si>
  <si>
    <t>both sexes</t>
  </si>
  <si>
    <t>all ages</t>
  </si>
  <si>
    <t>Diseases of heart (I00-I09,I11,I13,I20-I51)</t>
  </si>
  <si>
    <t>Malignant neoplasms (C00-C97)</t>
  </si>
  <si>
    <t>Chronic lower respiratory diseases (J40-J47)</t>
  </si>
  <si>
    <t>Accidents (unintentional injuries) (V01-X59,Y85-Y86)</t>
  </si>
  <si>
    <t>Cerebrovascular diseases (I60-I69)</t>
  </si>
  <si>
    <t>Alzheimer's disease (G30)</t>
  </si>
  <si>
    <t>Diabetes mellitus (E10-E14)</t>
  </si>
  <si>
    <t>Influenza and pneumonia (J09-J18)</t>
  </si>
  <si>
    <t>Nephritis, nephrotic syndrome and nephrosis (N00-N07,N17-N19,N25-N27)</t>
  </si>
  <si>
    <t>Intentional self-harm (suicide) (*U03,X60-X84,Y87.0)</t>
  </si>
  <si>
    <t>Septicemia (A40-A41)</t>
  </si>
  <si>
    <t>Chronic liver disease and cirrhosis (K70,K73-K74)</t>
  </si>
  <si>
    <t>Essential hypertension and hypertensive renal disease (I10,I12,I15)</t>
  </si>
  <si>
    <t>Parkinson's disease (G20-G21)</t>
  </si>
  <si>
    <t>Pneumonitis due to solids and liquids (J69)</t>
  </si>
  <si>
    <t>All other causes (Residual)</t>
  </si>
  <si>
    <t>1-4 years</t>
  </si>
  <si>
    <t>Congenital malformations, deformations and chromosomal abnormalities (Q00-Q99)</t>
  </si>
  <si>
    <t>Assault (homicide) (*U01-*U02,X85-Y09,Y87.1)</t>
  </si>
  <si>
    <t>In situ neoplasms, benign neoplasms and neoplasms of uncertain or unknown behavior (D00-D48)</t>
  </si>
  <si>
    <t>Certain conditions originating in the perinatal period (P00-P96)</t>
  </si>
  <si>
    <t>Meningitis (G00,G03)</t>
  </si>
  <si>
    <t>Anemias (D50-D64)</t>
  </si>
  <si>
    <t>Complications of medical and surgical care (Y40-Y84,Y88)</t>
  </si>
  <si>
    <t>Acute bronchitis and bronchiolitis (J20-J21)</t>
  </si>
  <si>
    <t>5-14 years</t>
  </si>
  <si>
    <t>15-24 years</t>
  </si>
  <si>
    <t>Pregnancy, childbirth and the puerperium (O00-O99)</t>
  </si>
  <si>
    <t>Human immunodeficiency virus (HIV) disease (B20-B24)</t>
  </si>
  <si>
    <t>Legal intervention (Y35,Y89.0)</t>
  </si>
  <si>
    <t>25-34 years</t>
  </si>
  <si>
    <t>35-44 years</t>
  </si>
  <si>
    <t>45-54 years</t>
  </si>
  <si>
    <t>Viral hepatitis (B15-B19)</t>
  </si>
  <si>
    <t>55-64 years</t>
  </si>
  <si>
    <t>65-74 years</t>
  </si>
  <si>
    <t>75-84 years</t>
  </si>
  <si>
    <t>85 years and over</t>
  </si>
  <si>
    <t>Atherosclerosis (I70)</t>
  </si>
  <si>
    <t>male</t>
  </si>
  <si>
    <t>Aortic aneurysm and dissection (I71)</t>
  </si>
  <si>
    <t>SUM of Number</t>
  </si>
  <si>
    <t>SUM of Rate Modified</t>
  </si>
  <si>
    <t>SUM of RANK</t>
  </si>
  <si>
    <t>Grand Total</t>
  </si>
  <si>
    <t>Males</t>
  </si>
  <si>
    <t>All Causes</t>
  </si>
  <si>
    <t>female</t>
  </si>
  <si>
    <t>Diff 95% Confidence</t>
  </si>
  <si>
    <t>NO</t>
  </si>
  <si>
    <t>YES</t>
  </si>
  <si>
    <t>Accidents (Unintentional injuries)</t>
  </si>
  <si>
    <t>Assaults (homicides)</t>
  </si>
  <si>
    <t>Assaults (homicides): male vs female analysis</t>
  </si>
  <si>
    <t>SUM of Total Population</t>
  </si>
  <si>
    <t>female assault death rate</t>
  </si>
  <si>
    <t>female accidents death rate</t>
  </si>
  <si>
    <t>female all causes of death</t>
  </si>
  <si>
    <t>Accidents: male vs female analysis</t>
  </si>
  <si>
    <t>All causes: male vs female analysis</t>
  </si>
  <si>
    <t>AGE 15-24: Male vs Female, top 5 causes of death</t>
  </si>
  <si>
    <t>AVERAGE of Number</t>
  </si>
  <si>
    <t>AVERAGE of Rate Modified</t>
  </si>
  <si>
    <t>1-4 yr</t>
  </si>
  <si>
    <t>5-14 yr</t>
  </si>
  <si>
    <t>15-24 yr</t>
  </si>
  <si>
    <t>25-34 yr</t>
  </si>
  <si>
    <t>35-44 yr</t>
  </si>
  <si>
    <t>45-54 yr</t>
  </si>
  <si>
    <t>55-64 yr</t>
  </si>
  <si>
    <t>65-74 yr</t>
  </si>
  <si>
    <t>75-84 yr</t>
  </si>
  <si>
    <t>85+ yr</t>
  </si>
  <si>
    <t>x</t>
  </si>
  <si>
    <t>All races, both sexes, all ages</t>
  </si>
  <si>
    <t>Race Segment</t>
  </si>
  <si>
    <t>All races, both sexes, 1-4 years</t>
  </si>
  <si>
    <t>*</t>
  </si>
  <si>
    <t>All races, both sexes, 5-14 years</t>
  </si>
  <si>
    <t>All races, both sexes, 15-24 years</t>
  </si>
  <si>
    <t>All races, both sexes, 25-34 years</t>
  </si>
  <si>
    <t>All races, both sexes, 35-44 years</t>
  </si>
  <si>
    <t>All races, both sexes, 45-54 years</t>
  </si>
  <si>
    <t>All races, both sexes, 55-64 years</t>
  </si>
  <si>
    <t>All races, both sexes, 65-74 years</t>
  </si>
  <si>
    <t>All races, both sexes, 75-84 years</t>
  </si>
  <si>
    <t>All races, both sexes, 85 years and over</t>
  </si>
  <si>
    <t>All races, male, all ages</t>
  </si>
  <si>
    <t>All races, male, 1-4 years</t>
  </si>
  <si>
    <t>All races, male, 5-14 years</t>
  </si>
  <si>
    <t>All races, male, 15-24 years</t>
  </si>
  <si>
    <t>All races, male, 25-34 years</t>
  </si>
  <si>
    <t>All races, male, 35-44 years</t>
  </si>
  <si>
    <t>All races, male, 45-54 years</t>
  </si>
  <si>
    <t>All races, male, 55-64 years</t>
  </si>
  <si>
    <t>All races, male, 65-74 years</t>
  </si>
  <si>
    <t>Deaths for Age Segment 1</t>
  </si>
  <si>
    <t>Sample Size</t>
  </si>
  <si>
    <t>Death Rate</t>
  </si>
  <si>
    <t>Conversion Rate</t>
  </si>
  <si>
    <t>Standard Error</t>
  </si>
  <si>
    <t>95% confidence:</t>
  </si>
  <si>
    <t>Z-score</t>
  </si>
  <si>
    <t>P-value</t>
  </si>
  <si>
    <t>Male</t>
  </si>
  <si>
    <t>-</t>
  </si>
  <si>
    <t>Female</t>
  </si>
  <si>
    <t>Deaths for Age Segment 2</t>
  </si>
  <si>
    <t>Deaths for Age Segment 3</t>
  </si>
  <si>
    <t>Deaths for Age Segment 4</t>
  </si>
  <si>
    <t>Deaths for Age Segment 5</t>
  </si>
  <si>
    <t>Deaths for Age Segment 6</t>
  </si>
  <si>
    <t>Deaths for Age Segment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</si>
</sst>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"/>
    <numFmt numFmtId="165" formatCode="0.000"/>
    <numFmt numFmtId="166" formatCode="0.000000000"/>
  </numFmts>
  <fonts count="6">
    <font>
      <sz val="10.0"/>
      <color rgb="FF000000"/>
      <name val="Arial"/>
    </font>
    <font>
      <sz val="12.0"/>
      <color rgb="FF000000"/>
      <name val="Calibri"/>
    </font>
    <font>
      <b/>
      <color theme="1"/>
      <name val="Arial"/>
    </font>
    <font>
      <b/>
      <sz val="12.0"/>
      <color rgb="FF000000"/>
      <name val="Calibri"/>
    </font>
    <font>
      <color theme="1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</fills>
  <borders count="22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</border>
    <border>
      <right style="thick">
        <color rgb="FFFF0000"/>
      </right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9900FF"/>
      </left>
      <top style="thick">
        <color rgb="FF9900FF"/>
      </top>
    </border>
    <border>
      <top style="thick">
        <color rgb="FF9900FF"/>
      </top>
    </border>
    <border>
      <right style="thick">
        <color rgb="FF9900FF"/>
      </right>
      <top style="thick">
        <color rgb="FF9900FF"/>
      </top>
    </border>
    <border>
      <left style="thick">
        <color rgb="FF9900FF"/>
      </left>
    </border>
    <border>
      <right style="thick">
        <color rgb="FF9900FF"/>
      </right>
    </border>
    <border>
      <left style="thick">
        <color rgb="FF9900FF"/>
      </left>
      <bottom style="thick">
        <color rgb="FF9900FF"/>
      </bottom>
    </border>
    <border>
      <bottom style="thick">
        <color rgb="FF9900FF"/>
      </bottom>
    </border>
    <border>
      <right style="thick">
        <color rgb="FF9900FF"/>
      </right>
      <bottom style="thick">
        <color rgb="FF99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3" xfId="0" applyFont="1" applyNumberFormat="1"/>
    <xf borderId="0" fillId="0" fontId="4" numFmtId="4" xfId="0" applyFont="1" applyNumberFormat="1"/>
    <xf borderId="0" fillId="0" fontId="4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4" fontId="4" numFmtId="0" xfId="0" applyFill="1" applyFont="1"/>
    <xf borderId="0" fillId="5" fontId="4" numFmtId="0" xfId="0" applyFill="1" applyFont="1"/>
    <xf borderId="0" fillId="6" fontId="4" numFmtId="0" xfId="0" applyFill="1" applyFont="1"/>
    <xf borderId="0" fillId="7" fontId="4" numFmtId="0" xfId="0" applyFill="1" applyFont="1"/>
    <xf borderId="0" fillId="0" fontId="2" numFmtId="0" xfId="0" applyFont="1"/>
    <xf borderId="0" fillId="8" fontId="2" numFmtId="0" xfId="0" applyFill="1" applyFont="1"/>
    <xf borderId="0" fillId="8" fontId="4" numFmtId="0" xfId="0" applyFont="1"/>
    <xf borderId="0" fillId="0" fontId="4" numFmtId="0" xfId="0" applyAlignment="1" applyFont="1">
      <alignment shrinkToFit="0" wrapText="1"/>
    </xf>
    <xf borderId="0" fillId="0" fontId="4" numFmtId="3" xfId="0" applyAlignment="1" applyFont="1" applyNumberFormat="1">
      <alignment shrinkToFit="0" wrapText="1"/>
    </xf>
    <xf borderId="0" fillId="0" fontId="4" numFmtId="4" xfId="0" applyAlignment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2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4" numFmtId="3" xfId="0" applyAlignment="1" applyFont="1" applyNumberFormat="1">
      <alignment readingOrder="0" shrinkToFit="0" wrapText="1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  <xf borderId="15" fillId="0" fontId="4" numFmtId="0" xfId="0" applyAlignment="1" applyBorder="1" applyFont="1">
      <alignment shrinkToFit="0" wrapText="1"/>
    </xf>
    <xf borderId="16" fillId="0" fontId="4" numFmtId="0" xfId="0" applyAlignment="1" applyBorder="1" applyFont="1">
      <alignment shrinkToFit="0" wrapText="1"/>
    </xf>
    <xf borderId="17" fillId="0" fontId="4" numFmtId="0" xfId="0" applyAlignment="1" applyBorder="1" applyFont="1">
      <alignment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4" numFmtId="0" xfId="0" applyAlignment="1" applyBorder="1" applyFont="1">
      <alignment shrinkToFit="0" wrapText="1"/>
    </xf>
    <xf borderId="0" fillId="9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9" fontId="1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vertical="bottom"/>
    </xf>
    <xf borderId="21" fillId="0" fontId="2" numFmtId="0" xfId="0" applyAlignment="1" applyBorder="1" applyFont="1">
      <alignment shrinkToFit="0" wrapText="0"/>
    </xf>
    <xf borderId="0" fillId="0" fontId="4" numFmtId="0" xfId="0" applyAlignment="1" applyFont="1">
      <alignment readingOrder="0" vertical="bottom"/>
    </xf>
    <xf borderId="0" fillId="10" fontId="4" numFmtId="4" xfId="0" applyAlignment="1" applyFill="1" applyFont="1" applyNumberFormat="1">
      <alignment vertical="bottom"/>
    </xf>
    <xf borderId="0" fillId="0" fontId="4" numFmtId="0" xfId="0" applyFont="1"/>
    <xf borderId="0" fillId="7" fontId="4" numFmtId="3" xfId="0" applyAlignment="1" applyFont="1" applyNumberFormat="1">
      <alignment horizontal="right" vertical="bottom"/>
    </xf>
    <xf borderId="0" fillId="10" fontId="4" numFmtId="4" xfId="0" applyAlignment="1" applyFont="1" applyNumberFormat="1">
      <alignment readingOrder="0" vertical="bottom"/>
    </xf>
    <xf borderId="0" fillId="0" fontId="4" numFmtId="10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center" vertical="bottom"/>
    </xf>
    <xf borderId="0" fillId="11" fontId="4" numFmtId="0" xfId="0" applyAlignment="1" applyFill="1" applyFon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  <xf borderId="0" fillId="12" fontId="4" numFmtId="0" xfId="0" applyAlignment="1" applyFill="1" applyFont="1">
      <alignment horizontal="center" vertical="bottom"/>
    </xf>
    <xf borderId="0" fillId="0" fontId="4" numFmtId="4" xfId="0" applyAlignment="1" applyFont="1" applyNumberFormat="1">
      <alignment vertical="bottom"/>
    </xf>
    <xf borderId="0" fillId="10" fontId="5" numFmtId="4" xfId="0" applyAlignment="1" applyFont="1" applyNumberForma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analysis: Male vs Female, All causes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Dashboard!$C$45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male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Dashboard!$A$46:$A$52</c:f>
            </c:numRef>
          </c:xVal>
          <c:yVal>
            <c:numRef>
              <c:f>Dashboard!$C$46:$C$52</c:f>
              <c:numCache/>
            </c:numRef>
          </c:yVal>
        </c:ser>
        <c:ser>
          <c:idx val="1"/>
          <c:order val="1"/>
          <c:tx>
            <c:strRef>
              <c:f>Dashboard!$D$45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Trendline for female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Dashboard!$A$46:$A$52</c:f>
            </c:numRef>
          </c:xVal>
          <c:yVal>
            <c:numRef>
              <c:f>Dashboard!$D$46:$D$52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06706"/>
        <c:axId val="2006818552"/>
      </c:scatterChart>
      <c:valAx>
        <c:axId val="8673067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Segment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6818552"/>
      </c:valAx>
      <c:valAx>
        <c:axId val="2006818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7306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15-24, Male vs Female - Top 5 Causes of Death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Female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Analysis!$A$120:$A$124</c:f>
            </c:strRef>
          </c:cat>
          <c:val>
            <c:numRef>
              <c:f>Analysis!$D$120:$D$124</c:f>
              <c:numCache/>
            </c:numRef>
          </c:val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Analysis!$A$120:$A$124</c:f>
            </c:strRef>
          </c:cat>
          <c:val>
            <c:numRef>
              <c:f>Analysis!$C$120:$C$124</c:f>
              <c:numCache/>
            </c:numRef>
          </c:val>
        </c:ser>
        <c:axId val="618888057"/>
        <c:axId val="976909485"/>
      </c:barChart>
      <c:catAx>
        <c:axId val="618888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Top 5 Leading Causes of Death for Age 15-24 males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909485"/>
      </c:catAx>
      <c:valAx>
        <c:axId val="976909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Rate of Death (out of 100,000)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888057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analysis: Male vs Female, Accidents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Dashboard!$C$56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male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Dashboard!$A$57:$A$64</c:f>
            </c:numRef>
          </c:xVal>
          <c:yVal>
            <c:numRef>
              <c:f>Dashboard!$C$57:$C$64</c:f>
              <c:numCache/>
            </c:numRef>
          </c:yVal>
        </c:ser>
        <c:ser>
          <c:idx val="1"/>
          <c:order val="1"/>
          <c:tx>
            <c:strRef>
              <c:f>Dashboard!$D$56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Trendline for female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Dashboard!$A$57:$A$64</c:f>
            </c:numRef>
          </c:xVal>
          <c:yVal>
            <c:numRef>
              <c:f>Dashboard!$D$57:$D$64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54978"/>
        <c:axId val="1939122455"/>
      </c:scatterChart>
      <c:valAx>
        <c:axId val="6146549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Segment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122455"/>
      </c:valAx>
      <c:valAx>
        <c:axId val="1939122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6549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Age analysis: Male vs Female, Assaults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Dashboard!$C$69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male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Dashboard!$A$70:$A$75</c:f>
            </c:numRef>
          </c:xVal>
          <c:yVal>
            <c:numRef>
              <c:f>Dashboard!$C$70:$C$75</c:f>
              <c:numCache/>
            </c:numRef>
          </c:yVal>
        </c:ser>
        <c:ser>
          <c:idx val="1"/>
          <c:order val="1"/>
          <c:tx>
            <c:strRef>
              <c:f>Dashboard!$D$69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Trendline for female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Dashboard!$A$70:$A$75</c:f>
            </c:numRef>
          </c:xVal>
          <c:yVal>
            <c:numRef>
              <c:f>Dashboard!$D$70:$D$75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291241"/>
        <c:axId val="1973945271"/>
      </c:scatterChart>
      <c:valAx>
        <c:axId val="9162912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Segment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945271"/>
      </c:valAx>
      <c:valAx>
        <c:axId val="1973945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291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35</xdr:row>
      <xdr:rowOff>9525</xdr:rowOff>
    </xdr:from>
    <xdr:ext cx="4572000" cy="2828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866775</xdr:colOff>
      <xdr:row>108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657225</xdr:colOff>
      <xdr:row>62</xdr:row>
      <xdr:rowOff>47625</xdr:rowOff>
    </xdr:from>
    <xdr:ext cx="4572000" cy="28289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0</xdr:colOff>
      <xdr:row>62</xdr:row>
      <xdr:rowOff>47625</xdr:rowOff>
    </xdr:from>
    <xdr:ext cx="4572000" cy="28289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I356" sheet="Raw Data"/>
  </cacheSource>
  <cacheFields>
    <cacheField name="RANK">
      <sharedItems containsBlank="1" containsMixedTypes="1" containsNumber="1" containsInteger="1">
        <s v="...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m/>
      </sharedItems>
    </cacheField>
    <cacheField name="Cause of Death" numFmtId="0">
      <sharedItems containsBlank="1">
        <s v="All causes"/>
        <s v="Diseases of heart (I00-I09,I11,I13,I20-I51)"/>
        <s v="Malignant neoplasms (C00-C97)"/>
        <s v="Chronic lower respiratory diseases (J40-J47)"/>
        <s v="Accidents (unintentional injuries) (V01-X59,Y85-Y86)"/>
        <s v="Cerebrovascular diseases (I60-I69)"/>
        <s v="Alzheimer's disease (G30)"/>
        <s v="Diabetes mellitus (E10-E14)"/>
        <s v="Influenza and pneumonia (J09-J18)"/>
        <s v="Nephritis, nephrotic syndrome and nephrosis (N00-N07,N17-N19,N25-N27)"/>
        <s v="Intentional self-harm (suicide) (*U03,X60-X84,Y87.0)"/>
        <s v="Septicemia (A40-A41)"/>
        <s v="Chronic liver disease and cirrhosis (K70,K73-K74)"/>
        <s v="Essential hypertension and hypertensive renal disease (I10,I12,I15)"/>
        <s v="Parkinson's disease (G20-G21)"/>
        <s v="Pneumonitis due to solids and liquids (J69)"/>
        <s v="All other causes (Residual)"/>
        <s v="Congenital malformations, deformations and chromosomal abnormalities (Q00-Q99)"/>
        <s v="Assault (homicide) (*U01-*U02,X85-Y09,Y87.1)"/>
        <s v="In situ neoplasms, benign neoplasms and neoplasms of uncertain or unknown behavior (D00-D48)"/>
        <s v="Certain conditions originating in the perinatal period (P00-P96)"/>
        <s v="Meningitis (G00,G03)"/>
        <s v="Anemias (D50-D64)"/>
        <s v="Complications of medical and surgical care (Y40-Y84,Y88)"/>
        <s v="Acute bronchitis and bronchiolitis (J20-J21)"/>
        <s v="Pregnancy, childbirth and the puerperium (O00-O99)"/>
        <s v="Human immunodeficiency virus (HIV) disease (B20-B24)"/>
        <s v="Legal intervention (Y35,Y89.0)"/>
        <s v="Viral hepatitis (B15-B19)"/>
        <s v="Atherosclerosis (I70)"/>
        <s v="Aortic aneurysm and dissection (I71)"/>
        <m/>
      </sharedItems>
    </cacheField>
    <cacheField name="Number" numFmtId="3">
      <sharedItems containsString="0" containsBlank="1" containsNumber="1" containsInteger="1">
        <n v="2596993.0"/>
        <n v="611105.0"/>
        <n v="584881.0"/>
        <n v="149205.0"/>
        <n v="130557.0"/>
        <n v="128978.0"/>
        <n v="84767.0"/>
        <n v="75578.0"/>
        <n v="56979.0"/>
        <n v="47112.0"/>
        <n v="41149.0"/>
        <n v="38156.0"/>
        <n v="36427.0"/>
        <n v="30770.0"/>
        <n v="25196.0"/>
        <n v="18579.0"/>
        <n v="537554.0"/>
        <n v="4068.0"/>
        <n v="1316.0"/>
        <n v="476.0"/>
        <n v="337.0"/>
        <n v="328.0"/>
        <n v="169.0"/>
        <n v="102.0"/>
        <n v="64.0"/>
        <n v="53.0"/>
        <n v="47.0"/>
        <n v="45.0"/>
        <n v="38.0"/>
        <n v="23.0"/>
        <n v="20.0"/>
        <n v="15.0"/>
        <n v="14.0"/>
        <n v="1021.0"/>
        <n v="5340.0"/>
        <n v="1521.0"/>
        <n v="895.0"/>
        <n v="395.0"/>
        <n v="340.0"/>
        <n v="277.0"/>
        <n v="173.0"/>
        <n v="155.0"/>
        <n v="128.0"/>
        <n v="89.0"/>
        <n v="65.0"/>
        <n v="55.0"/>
        <n v="33.0"/>
        <n v="26.0"/>
        <n v="24.0"/>
        <n v="17.0"/>
        <n v="1147.0"/>
        <n v="28486.0"/>
        <n v="11619.0"/>
        <n v="4878.0"/>
        <n v="4329.0"/>
        <n v="1496.0"/>
        <n v="941.0"/>
        <n v="362.0"/>
        <n v="197.0"/>
        <n v="193.0"/>
        <n v="178.0"/>
        <n v="153.0"/>
        <n v="138.0"/>
        <n v="109.0"/>
        <n v="99.0"/>
        <n v="93.0"/>
        <n v="3546.0"/>
        <n v="45463.0"/>
        <n v="16209.0"/>
        <n v="6348.0"/>
        <n v="4236.0"/>
        <n v="3673.0"/>
        <n v="3258.0"/>
        <n v="684.0"/>
        <n v="676.0"/>
        <n v="631.0"/>
        <n v="508.0"/>
        <n v="449.0"/>
        <n v="441.0"/>
        <n v="423.0"/>
        <n v="333.0"/>
        <n v="291.0"/>
        <n v="266.0"/>
        <n v="7037.0"/>
        <n v="69573.0"/>
        <n v="15354.0"/>
        <n v="11349.0"/>
        <n v="10341.0"/>
        <n v="6551.0"/>
        <n v="2581.0"/>
        <n v="2491.0"/>
        <n v="1952.0"/>
        <n v="1687.0"/>
        <n v="1246.0"/>
        <n v="881.0"/>
        <n v="820.0"/>
        <n v="760.0"/>
        <n v="627.0"/>
        <n v="409.0"/>
        <n v="12083.0"/>
        <n v="177724.0"/>
        <n v="46185.0"/>
        <n v="35167.0"/>
        <n v="20357.0"/>
        <n v="8785.0"/>
        <n v="8621.0"/>
        <n v="5899.0"/>
        <n v="5425.0"/>
        <n v="4619.0"/>
        <n v="2445.0"/>
        <n v="2378.0"/>
        <n v="2233.0"/>
        <n v="2025.0"/>
        <n v="1989.0"/>
        <n v="1911.0"/>
        <n v="1513.0"/>
        <n v="28172.0"/>
        <n v="338127.0"/>
        <n v="113324.0"/>
        <n v="72568.0"/>
        <n v="17057.0"/>
        <n v="15942.0"/>
        <n v="13061.0"/>
        <n v="11951.0"/>
        <n v="11364.0"/>
        <n v="7135.0"/>
        <n v="5345.0"/>
        <n v="4947.0"/>
        <n v="4779.0"/>
        <n v="3936.0"/>
        <n v="3137.0"/>
        <n v="1820.0"/>
        <n v="1502.0"/>
        <n v="50259.0"/>
        <n v="454429.0"/>
        <n v="155552.0"/>
        <n v="98432.0"/>
        <n v="35603.0"/>
        <n v="18722.0"/>
        <n v="17279.0"/>
        <n v="10967.0"/>
        <n v="8524.0"/>
        <n v="7693.0"/>
        <n v="7441.0"/>
        <n v="7087.0"/>
        <n v="4561.0"/>
        <n v="4357.0"/>
        <n v="3794.0"/>
        <n v="3215.0"/>
        <n v="2773.0"/>
        <n v="68429.0"/>
        <n v="625013.0"/>
        <n v="153214.0"/>
        <n v="147255.0"/>
        <n v="49346.0"/>
        <n v="36151.0"/>
        <n v="23073.0"/>
        <n v="19587.0"/>
        <n v="14438.0"/>
        <n v="13949.0"/>
        <n v="13317.0"/>
        <n v="10549.0"/>
        <n v="10274.0"/>
        <n v="7216.0"/>
        <n v="4933.0"/>
        <n v="4554.0"/>
        <n v="4014.0"/>
        <n v="113143.0"/>
        <n v="825198.0"/>
        <n v="242469.0"/>
        <n v="98792.0"/>
        <n v="56152.0"/>
        <n v="54729.0"/>
        <n v="42245.0"/>
        <n v="26641.0"/>
        <n v="20537.0"/>
        <n v="17239.0"/>
        <n v="16885.0"/>
        <n v="13991.0"/>
        <n v="10848.0"/>
        <n v="10762.0"/>
        <n v="9218.0"/>
        <n v="5106.0"/>
        <n v="3803.0"/>
        <n v="195781.0"/>
        <n v="1306034.0"/>
        <n v="321347.0"/>
        <n v="307559.0"/>
        <n v="81916.0"/>
        <n v="70317.0"/>
        <n v="53691.0"/>
        <n v="39841.0"/>
        <n v="32055.0"/>
        <n v="26804.0"/>
        <n v="25836.0"/>
        <n v="23709.0"/>
        <n v="23493.0"/>
        <n v="17994.0"/>
        <n v="15088.0"/>
        <n v="12963.0"/>
        <n v="12726.0"/>
        <n v="240695.0"/>
        <n v="2323.0"/>
        <n v="831.0"/>
        <n v="232.0"/>
        <n v="184.0"/>
        <n v="183.0"/>
        <n v="96.0"/>
        <n v="32.0"/>
        <n v="29.0"/>
        <n v="22.0"/>
        <n v="19.0"/>
        <n v="13.0"/>
        <n v="11.0"/>
        <n v="7.0"/>
        <n v="566.0"/>
        <n v="3077.0"/>
        <n v="950.0"/>
        <n v="471.0"/>
        <n v="252.0"/>
        <n v="176.0"/>
        <n v="168.0"/>
        <n v="100.0"/>
        <n v="70.0"/>
        <n v="44.0"/>
        <n v="40.0"/>
        <n v="12.0"/>
        <n v="626.0"/>
        <n v="20864.0"/>
        <n v="8545.0"/>
        <n v="3903.0"/>
        <n v="3765.0"/>
        <n v="859.0"/>
        <n v="628.0"/>
        <n v="223.0"/>
        <n v="120.0"/>
        <n v="114.0"/>
        <n v="101.0"/>
        <n v="95.0"/>
        <n v="85.0"/>
        <n v="81.0"/>
        <n v="74.0"/>
        <n v="57.0"/>
        <n v="54.0"/>
        <n v="2160.0"/>
        <n v="31462.0"/>
        <n v="12025.0"/>
        <n v="5063.0"/>
        <n v="3555.0"/>
        <n v="2214.0"/>
        <n v="1857.0"/>
        <n v="457.0"/>
        <n v="435.0"/>
        <n v="403.0"/>
        <n v="279.0"/>
        <n v="253.0"/>
        <n v="240.0"/>
        <n v="160.0"/>
        <n v="141.0"/>
        <n v="140.0"/>
        <n v="4062.0"/>
        <n v="43072.0"/>
        <n v="10566.0"/>
        <n v="7152.0"/>
        <n v="5003.0"/>
        <n v="4827.0"/>
        <n v="1620.0"/>
        <n v="1211.0"/>
        <n v="938.0"/>
        <n v="842.0"/>
        <n v="464.0"/>
        <n v="397.0"/>
        <n v="365.0"/>
        <n v="342.0"/>
        <n v="264.0"/>
        <n v="251.0"/>
        <n v="6805.0"/>
        <n v="107997.0"/>
        <n v="24830.0"/>
        <n v="22966.0"/>
        <n v="13591.0"/>
        <n v="6393.0"/>
        <n v="5858.0"/>
        <n v="3633.0"/>
        <n v="3067.0"/>
        <n v="2142.0"/>
        <n v="1760.0"/>
        <n v="1479.0"/>
        <n v="1328.0"/>
        <n v="1304.0"/>
        <n v="1277.0"/>
        <n v="1190.0"/>
        <n v="990.0"/>
        <n v="16189.0"/>
        <n v="206325.0"/>
        <n v="62810.0"/>
        <n v="50680.0"/>
        <n v="11658.0"/>
        <n v="8485.0"/>
        <n v="8287.0"/>
        <n v="7933.0"/>
        <n v="6651.0"/>
        <n v="5373.0"/>
        <n v="2892.0"/>
        <n v="2800.0"/>
        <n v="2792.0"/>
        <n v="2745.0"/>
        <n v="1990.0"/>
        <n v="1369.0"/>
        <n v="934.0"/>
        <n v="28926.0"/>
        <n v="257898.0"/>
        <n v="85669.0"/>
        <n v="62634.0"/>
        <n v="17925.0"/>
        <n v="10033.0"/>
        <n v="9857.0"/>
        <n v="7014.0"/>
        <n v="4531.0"/>
        <n v="4469.0"/>
        <n v="4131.0"/>
        <n v="4002.0"/>
        <n v="3072.0"/>
        <n v="2359.0"/>
        <n v="1984.0"/>
        <n v="1657.0"/>
        <n v="36401.0"/>
        <m/>
      </sharedItems>
    </cacheField>
    <cacheField name="Percent of Total Deaths" numFmtId="0">
      <sharedItems containsString="0" containsBlank="1" containsNumber="1">
        <n v="100.0"/>
        <n v="23.5"/>
        <n v="22.5"/>
        <n v="5.7"/>
        <n v="5.0"/>
        <n v="3.3"/>
        <n v="2.9"/>
        <n v="2.2"/>
        <n v="1.8"/>
        <n v="1.6"/>
        <n v="1.5"/>
        <n v="1.4"/>
        <n v="1.2"/>
        <n v="1.0"/>
        <n v="0.7"/>
        <n v="20.7"/>
        <n v="32.4"/>
        <n v="11.7"/>
        <n v="8.3"/>
        <n v="8.1"/>
        <n v="4.2"/>
        <n v="2.5"/>
        <n v="1.3"/>
        <n v="1.1"/>
        <n v="0.9"/>
        <n v="0.6"/>
        <n v="0.5"/>
        <n v="0.4"/>
        <n v="0.3"/>
        <n v="25.1"/>
        <n v="28.5"/>
        <n v="16.8"/>
        <n v="7.4"/>
        <n v="6.4"/>
        <n v="5.2"/>
        <n v="3.2"/>
        <n v="2.4"/>
        <n v="1.7"/>
        <n v="21.5"/>
        <n v="40.8"/>
        <n v="17.1"/>
        <n v="15.2"/>
        <n v="5.3"/>
        <n v="12.4"/>
        <n v="35.7"/>
        <n v="14.0"/>
        <n v="9.3"/>
        <n v="7.2"/>
        <n v="15.5"/>
        <n v="22.1"/>
        <n v="16.3"/>
        <n v="14.9"/>
        <n v="9.4"/>
        <n v="3.7"/>
        <n v="3.6"/>
        <n v="2.8"/>
        <n v="17.4"/>
        <n v="26.0"/>
        <n v="19.8"/>
        <n v="11.5"/>
        <n v="4.9"/>
        <n v="3.1"/>
        <n v="2.6"/>
        <n v="15.9"/>
        <n v="33.5"/>
        <n v="4.7"/>
        <n v="3.9"/>
        <n v="3.5"/>
        <n v="3.4"/>
        <n v="2.1"/>
        <n v="34.2"/>
        <n v="21.7"/>
        <n v="7.8"/>
        <n v="4.1"/>
        <n v="3.8"/>
        <n v="1.9"/>
        <n v="0.8"/>
        <n v="15.1"/>
        <n v="24.5"/>
        <n v="23.6"/>
        <n v="7.9"/>
        <n v="5.8"/>
        <n v="2.3"/>
        <n v="18.1"/>
        <n v="29.4"/>
        <n v="12.0"/>
        <n v="6.8"/>
        <n v="6.6"/>
        <n v="5.1"/>
        <n v="2.0"/>
        <n v="23.7"/>
        <n v="24.6"/>
        <n v="6.3"/>
        <n v="5.4"/>
        <n v="18.4"/>
        <n v="35.8"/>
        <n v="10.0"/>
        <n v="24.4"/>
        <n v="30.9"/>
        <n v="15.3"/>
        <n v="8.2"/>
        <n v="5.5"/>
        <n v="3.0"/>
        <n v="20.3"/>
        <n v="41.0"/>
        <n v="18.7"/>
        <n v="18.0"/>
        <n v="10.4"/>
        <n v="38.2"/>
        <n v="16.1"/>
        <n v="11.3"/>
        <n v="7.0"/>
        <n v="5.9"/>
        <n v="12.9"/>
        <n v="16.6"/>
        <n v="11.6"/>
        <n v="11.2"/>
        <n v="15.8"/>
        <n v="23.0"/>
        <n v="21.3"/>
        <n v="12.6"/>
        <n v="15.0"/>
        <n v="30.4"/>
        <n v="4.0"/>
        <n v="33.2"/>
        <n v="24.3"/>
        <n v="2.7"/>
        <n v="14.1"/>
        <m/>
      </sharedItems>
    </cacheField>
    <cacheField name="Rate" numFmtId="4">
      <sharedItems containsString="0" containsBlank="1" containsNumber="1">
        <n v="821.5"/>
        <n v="193.3"/>
        <n v="185.0"/>
        <n v="47.2"/>
        <n v="41.3"/>
        <n v="40.8"/>
        <n v="26.8"/>
        <n v="23.9"/>
        <n v="18.0"/>
        <n v="14.9"/>
        <n v="13.0"/>
        <n v="12.1"/>
        <n v="11.5"/>
        <n v="9.7"/>
        <n v="8.0"/>
        <n v="5.9"/>
        <n v="170.0"/>
        <n v="25.5"/>
        <n v="8.3"/>
        <n v="3.0"/>
        <n v="2.1"/>
        <n v="1.1"/>
        <n v="0.6"/>
        <n v="0.4"/>
        <n v="0.3"/>
        <n v="0.2"/>
        <n v="0.1"/>
        <m/>
        <n v="6.4"/>
        <n v="3.7"/>
        <n v="2.2"/>
        <n v="1.0"/>
        <n v="0.8"/>
        <n v="0.7"/>
        <n v="2.8"/>
        <n v="64.8"/>
        <n v="26.4"/>
        <n v="11.1"/>
        <n v="9.8"/>
        <n v="3.4"/>
        <n v="8.1"/>
        <n v="106.1"/>
        <n v="37.8"/>
        <n v="14.8"/>
        <n v="9.9"/>
        <n v="8.6"/>
        <n v="7.6"/>
        <n v="1.6"/>
        <n v="1.5"/>
        <n v="1.2"/>
        <n v="16.4"/>
        <n v="172.0"/>
        <n v="38.0"/>
        <n v="28.1"/>
        <n v="25.6"/>
        <n v="16.2"/>
        <n v="6.2"/>
        <n v="4.8"/>
        <n v="4.2"/>
        <n v="3.1"/>
        <n v="2.0"/>
        <n v="1.9"/>
        <n v="29.9"/>
        <n v="406.1"/>
        <n v="105.5"/>
        <n v="80.3"/>
        <n v="46.5"/>
        <n v="20.1"/>
        <n v="19.7"/>
        <n v="13.5"/>
        <n v="12.4"/>
        <n v="10.6"/>
        <n v="5.6"/>
        <n v="5.4"/>
        <n v="5.1"/>
        <n v="4.6"/>
        <n v="4.5"/>
        <n v="4.4"/>
        <n v="3.5"/>
        <n v="64.4"/>
        <n v="860.0"/>
        <n v="288.2"/>
        <n v="184.6"/>
        <n v="43.4"/>
        <n v="40.5"/>
        <n v="33.2"/>
        <n v="30.4"/>
        <n v="28.9"/>
        <n v="18.1"/>
        <n v="13.6"/>
        <n v="12.6"/>
        <n v="12.2"/>
        <n v="10.0"/>
        <n v="3.8"/>
        <n v="127.8"/>
        <n v="1802.1"/>
        <n v="616.9"/>
        <n v="390.3"/>
        <n v="141.2"/>
        <n v="74.2"/>
        <n v="68.5"/>
        <n v="43.5"/>
        <n v="33.8"/>
        <n v="30.5"/>
        <n v="29.5"/>
        <n v="17.3"/>
        <n v="15.0"/>
        <n v="12.7"/>
        <n v="11.0"/>
        <n v="271.4"/>
        <n v="4648.1"/>
        <n v="1139.4"/>
        <n v="1095.1"/>
        <n v="367.0"/>
        <n v="268.9"/>
        <n v="171.6"/>
        <n v="145.7"/>
        <n v="107.4"/>
        <n v="103.7"/>
        <n v="99.0"/>
        <n v="78.5"/>
        <n v="76.4"/>
        <n v="53.7"/>
        <n v="36.7"/>
        <n v="33.9"/>
        <n v="841.4"/>
        <n v="13660.4"/>
        <n v="4013.9"/>
        <n v="1635.4"/>
        <n v="929.5"/>
        <n v="906.0"/>
        <n v="699.3"/>
        <n v="441.0"/>
        <n v="340.0"/>
        <n v="285.4"/>
        <n v="279.5"/>
        <n v="231.6"/>
        <n v="179.6"/>
        <n v="178.2"/>
        <n v="152.6"/>
        <n v="84.5"/>
        <n v="63.0"/>
        <n v="3241.0"/>
        <n v="839.1"/>
        <n v="206.5"/>
        <n v="197.6"/>
        <n v="52.6"/>
        <n v="45.2"/>
        <n v="34.5"/>
        <n v="20.6"/>
        <n v="17.2"/>
        <n v="16.6"/>
        <n v="15.2"/>
        <n v="15.1"/>
        <n v="11.6"/>
        <n v="8.2"/>
        <n v="154.6"/>
        <n v="28.6"/>
        <n v="10.2"/>
        <n v="2.9"/>
        <n v="2.3"/>
        <n v="0.5"/>
        <n v="7.0"/>
        <n v="14.6"/>
        <n v="92.6"/>
        <n v="37.9"/>
        <n v="16.7"/>
        <n v="9.6"/>
        <n v="145.4"/>
        <n v="55.6"/>
        <n v="23.4"/>
        <n v="1.3"/>
        <n v="18.8"/>
        <n v="213.8"/>
        <n v="52.4"/>
        <n v="35.5"/>
        <n v="24.8"/>
        <n v="24.0"/>
        <n v="10.1"/>
        <n v="6.0"/>
        <n v="4.7"/>
        <n v="1.8"/>
        <n v="1.7"/>
        <n v="500.7"/>
        <n v="115.1"/>
        <n v="106.5"/>
        <n v="29.6"/>
        <n v="27.2"/>
        <n v="16.8"/>
        <n v="14.2"/>
        <n v="6.9"/>
        <n v="5.5"/>
        <n v="75.1"/>
        <n v="1088.4"/>
        <n v="331.3"/>
        <n v="267.3"/>
        <n v="61.5"/>
        <n v="44.8"/>
        <n v="43.7"/>
        <n v="41.8"/>
        <n v="35.1"/>
        <n v="28.3"/>
        <n v="15.3"/>
        <n v="14.7"/>
        <n v="14.5"/>
        <n v="10.5"/>
        <n v="7.2"/>
        <n v="4.9"/>
        <n v="2186.0"/>
        <n v="726.2"/>
        <n v="530.9"/>
        <n v="151.9"/>
        <n v="85.0"/>
        <n v="83.6"/>
        <n v="59.5"/>
        <n v="38.4"/>
        <n v="35.0"/>
        <n v="26.0"/>
        <n v="20.0"/>
        <n v="18.3"/>
        <n v="14.0"/>
        <n v="308.5"/>
      </sharedItems>
    </cacheField>
    <cacheField name="Sex Segment" numFmtId="0">
      <sharedItems containsBlank="1">
        <s v="both sexes"/>
        <s v="male"/>
        <m/>
      </sharedItems>
    </cacheField>
    <cacheField name="Age Segment" numFmtId="0">
      <sharedItems containsBlank="1">
        <s v="all ages"/>
        <s v="1-4 years"/>
        <s v="5-14 years"/>
        <s v="15-24 years"/>
        <s v="25-34 years"/>
        <s v="35-44 years"/>
        <s v="45-54 years"/>
        <s v="55-64 years"/>
        <s v="65-74 years"/>
        <s v="75-84 years"/>
        <s v="85 years and over"/>
        <m/>
      </sharedItems>
    </cacheField>
    <cacheField name="Rate Modified" numFmtId="4">
      <sharedItems containsString="0" containsBlank="1" containsNumber="1">
        <n v="821.5"/>
        <n v="193.3"/>
        <n v="185.0"/>
        <n v="47.2"/>
        <n v="41.3"/>
        <n v="40.8"/>
        <n v="26.8"/>
        <n v="23.9"/>
        <n v="18.0"/>
        <n v="14.9"/>
        <n v="13.0"/>
        <n v="12.1"/>
        <n v="11.5"/>
        <n v="9.7"/>
        <n v="8.0"/>
        <n v="5.9"/>
        <n v="170.0"/>
        <n v="25.5"/>
        <n v="8.3"/>
        <n v="3.0"/>
        <n v="2.1"/>
        <n v="1.1"/>
        <n v="0.6"/>
        <n v="0.4"/>
        <n v="0.3"/>
        <n v="0.2"/>
        <n v="0.1"/>
        <n v="0.0"/>
        <n v="6.4"/>
        <n v="3.7"/>
        <n v="2.2"/>
        <n v="1.0"/>
        <n v="0.8"/>
        <n v="0.7"/>
        <n v="2.8"/>
        <n v="64.8"/>
        <n v="26.4"/>
        <n v="11.1"/>
        <n v="9.8"/>
        <n v="3.4"/>
        <n v="8.1"/>
        <n v="106.1"/>
        <n v="37.8"/>
        <n v="14.8"/>
        <n v="9.9"/>
        <n v="8.6"/>
        <n v="7.6"/>
        <n v="1.6"/>
        <n v="1.5"/>
        <n v="1.2"/>
        <n v="16.4"/>
        <n v="172.0"/>
        <n v="38.0"/>
        <n v="28.1"/>
        <n v="25.6"/>
        <n v="16.2"/>
        <n v="6.2"/>
        <n v="4.8"/>
        <n v="4.2"/>
        <n v="3.1"/>
        <n v="2.0"/>
        <n v="1.9"/>
        <n v="29.9"/>
        <n v="406.1"/>
        <n v="105.5"/>
        <n v="80.3"/>
        <n v="46.5"/>
        <n v="20.1"/>
        <n v="19.7"/>
        <n v="13.5"/>
        <n v="12.4"/>
        <n v="10.6"/>
        <n v="5.6"/>
        <n v="5.4"/>
        <n v="5.1"/>
        <n v="4.6"/>
        <n v="4.5"/>
        <n v="4.4"/>
        <n v="3.5"/>
        <n v="64.4"/>
        <n v="860.0"/>
        <n v="288.2"/>
        <n v="184.6"/>
        <n v="43.4"/>
        <n v="40.5"/>
        <n v="33.2"/>
        <n v="30.4"/>
        <n v="28.9"/>
        <n v="18.1"/>
        <n v="13.6"/>
        <n v="12.6"/>
        <n v="12.2"/>
        <n v="10.0"/>
        <n v="3.8"/>
        <n v="127.8"/>
        <n v="1802.1"/>
        <n v="616.9"/>
        <n v="390.3"/>
        <n v="141.2"/>
        <n v="74.2"/>
        <n v="68.5"/>
        <n v="43.5"/>
        <n v="33.8"/>
        <n v="30.5"/>
        <n v="29.5"/>
        <n v="17.3"/>
        <n v="15.0"/>
        <n v="12.7"/>
        <n v="11.0"/>
        <n v="271.4"/>
        <n v="4648.1"/>
        <n v="1139.4"/>
        <n v="1095.1"/>
        <n v="367.0"/>
        <n v="268.9"/>
        <n v="171.6"/>
        <n v="145.7"/>
        <n v="107.4"/>
        <n v="103.7"/>
        <n v="99.0"/>
        <n v="78.5"/>
        <n v="76.4"/>
        <n v="53.7"/>
        <n v="36.7"/>
        <n v="33.9"/>
        <n v="841.4"/>
        <n v="13660.4"/>
        <n v="4013.9"/>
        <n v="1635.4"/>
        <n v="929.5"/>
        <n v="906.0"/>
        <n v="699.3"/>
        <n v="441.0"/>
        <n v="340.0"/>
        <n v="285.4"/>
        <n v="279.5"/>
        <n v="231.6"/>
        <n v="179.6"/>
        <n v="178.2"/>
        <n v="152.6"/>
        <n v="84.5"/>
        <n v="63.0"/>
        <n v="3241.0"/>
        <n v="839.1"/>
        <n v="206.5"/>
        <n v="197.6"/>
        <n v="52.6"/>
        <n v="45.2"/>
        <n v="34.5"/>
        <n v="20.6"/>
        <n v="17.2"/>
        <n v="16.6"/>
        <n v="15.2"/>
        <n v="15.1"/>
        <n v="11.6"/>
        <n v="8.2"/>
        <n v="154.6"/>
        <n v="28.6"/>
        <n v="10.2"/>
        <n v="2.9"/>
        <n v="2.3"/>
        <n v="0.5"/>
        <n v="7.0"/>
        <n v="14.6"/>
        <n v="92.6"/>
        <n v="37.9"/>
        <n v="16.7"/>
        <n v="9.6"/>
        <n v="145.4"/>
        <n v="55.6"/>
        <n v="23.4"/>
        <n v="1.3"/>
        <n v="18.8"/>
        <n v="213.8"/>
        <n v="52.4"/>
        <n v="35.5"/>
        <n v="24.8"/>
        <n v="24.0"/>
        <n v="10.1"/>
        <n v="6.0"/>
        <n v="4.7"/>
        <n v="1.8"/>
        <n v="1.7"/>
        <n v="500.7"/>
        <n v="115.1"/>
        <n v="106.5"/>
        <n v="29.6"/>
        <n v="27.2"/>
        <n v="16.8"/>
        <n v="14.2"/>
        <n v="6.9"/>
        <n v="5.5"/>
        <n v="75.1"/>
        <n v="1088.4"/>
        <n v="331.3"/>
        <n v="267.3"/>
        <n v="61.5"/>
        <n v="44.8"/>
        <n v="43.7"/>
        <n v="41.8"/>
        <n v="35.1"/>
        <n v="28.3"/>
        <n v="15.3"/>
        <n v="14.7"/>
        <n v="14.5"/>
        <n v="10.5"/>
        <n v="7.2"/>
        <n v="4.9"/>
        <n v="2186.0"/>
        <n v="726.2"/>
        <n v="530.9"/>
        <n v="151.9"/>
        <n v="85.0"/>
        <n v="83.6"/>
        <n v="59.5"/>
        <n v="38.4"/>
        <n v="35.0"/>
        <n v="26.0"/>
        <n v="20.0"/>
        <n v="18.3"/>
        <n v="14.0"/>
        <n v="308.5"/>
        <m/>
      </sharedItems>
    </cacheField>
    <cacheField name="Age Segment Category" numFmtId="0">
      <sharedItems containsString="0" containsBlank="1" containsNumber="1" containsInteger="1">
        <n v="11.0"/>
        <n v="1.0"/>
        <n v="2.0"/>
        <n v="3.0"/>
        <n v="4.0"/>
        <n v="5.0"/>
        <n v="6.0"/>
        <n v="7.0"/>
        <n v="8.0"/>
        <n v="9.0"/>
        <n v="10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J342" sheet="Raw Data"/>
  </cacheSource>
  <cacheFields>
    <cacheField name="RANK">
      <sharedItems containsMixedTypes="1" containsNumber="1" containsInteger="1">
        <s v="...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</sharedItems>
    </cacheField>
    <cacheField name="Cause of Death" numFmtId="0">
      <sharedItems>
        <s v="All causes"/>
        <s v="Diseases of heart (I00-I09,I11,I13,I20-I51)"/>
        <s v="Malignant neoplasms (C00-C97)"/>
        <s v="Chronic lower respiratory diseases (J40-J47)"/>
        <s v="Accidents (unintentional injuries) (V01-X59,Y85-Y86)"/>
        <s v="Cerebrovascular diseases (I60-I69)"/>
        <s v="Alzheimer's disease (G30)"/>
        <s v="Diabetes mellitus (E10-E14)"/>
        <s v="Influenza and pneumonia (J09-J18)"/>
        <s v="Nephritis, nephrotic syndrome and nephrosis (N00-N07,N17-N19,N25-N27)"/>
        <s v="Intentional self-harm (suicide) (*U03,X60-X84,Y87.0)"/>
        <s v="Septicemia (A40-A41)"/>
        <s v="Chronic liver disease and cirrhosis (K70,K73-K74)"/>
        <s v="Essential hypertension and hypertensive renal disease (I10,I12,I15)"/>
        <s v="Parkinson's disease (G20-G21)"/>
        <s v="Pneumonitis due to solids and liquids (J69)"/>
        <s v="All other causes (Residual)"/>
        <s v="Congenital malformations, deformations and chromosomal abnormalities (Q00-Q99)"/>
        <s v="Assault (homicide) (*U01-*U02,X85-Y09,Y87.1)"/>
        <s v="In situ neoplasms, benign neoplasms and neoplasms of uncertain or unknown behavior (D00-D48)"/>
        <s v="Certain conditions originating in the perinatal period (P00-P96)"/>
        <s v="Meningitis (G00,G03)"/>
        <s v="Anemias (D50-D64)"/>
        <s v="Complications of medical and surgical care (Y40-Y84,Y88)"/>
        <s v="Acute bronchitis and bronchiolitis (J20-J21)"/>
        <s v="Pregnancy, childbirth and the puerperium (O00-O99)"/>
        <s v="Human immunodeficiency virus (HIV) disease (B20-B24)"/>
        <s v="Legal intervention (Y35,Y89.0)"/>
        <s v="Viral hepatitis (B15-B19)"/>
        <s v="Atherosclerosis (I70)"/>
        <s v="Aortic aneurysm and dissection (I71)"/>
      </sharedItems>
    </cacheField>
    <cacheField name="Number" numFmtId="3">
      <sharedItems containsSemiMixedTypes="0" containsString="0" containsNumber="1" containsInteger="1">
        <n v="2596993.0"/>
        <n v="611105.0"/>
        <n v="584881.0"/>
        <n v="149205.0"/>
        <n v="130557.0"/>
        <n v="128978.0"/>
        <n v="84767.0"/>
        <n v="75578.0"/>
        <n v="56979.0"/>
        <n v="47112.0"/>
        <n v="41149.0"/>
        <n v="38156.0"/>
        <n v="36427.0"/>
        <n v="30770.0"/>
        <n v="25196.0"/>
        <n v="18579.0"/>
        <n v="537554.0"/>
        <n v="4068.0"/>
        <n v="1316.0"/>
        <n v="476.0"/>
        <n v="337.0"/>
        <n v="328.0"/>
        <n v="169.0"/>
        <n v="102.0"/>
        <n v="64.0"/>
        <n v="53.0"/>
        <n v="47.0"/>
        <n v="45.0"/>
        <n v="38.0"/>
        <n v="23.0"/>
        <n v="20.0"/>
        <n v="15.0"/>
        <n v="14.0"/>
        <n v="1021.0"/>
        <n v="5340.0"/>
        <n v="1521.0"/>
        <n v="895.0"/>
        <n v="395.0"/>
        <n v="340.0"/>
        <n v="277.0"/>
        <n v="173.0"/>
        <n v="155.0"/>
        <n v="128.0"/>
        <n v="89.0"/>
        <n v="65.0"/>
        <n v="55.0"/>
        <n v="33.0"/>
        <n v="26.0"/>
        <n v="24.0"/>
        <n v="17.0"/>
        <n v="1147.0"/>
        <n v="28486.0"/>
        <n v="11619.0"/>
        <n v="4878.0"/>
        <n v="4329.0"/>
        <n v="1496.0"/>
        <n v="941.0"/>
        <n v="362.0"/>
        <n v="197.0"/>
        <n v="193.0"/>
        <n v="178.0"/>
        <n v="153.0"/>
        <n v="138.0"/>
        <n v="109.0"/>
        <n v="99.0"/>
        <n v="93.0"/>
        <n v="3546.0"/>
        <n v="45463.0"/>
        <n v="16209.0"/>
        <n v="6348.0"/>
        <n v="4236.0"/>
        <n v="3673.0"/>
        <n v="3258.0"/>
        <n v="684.0"/>
        <n v="676.0"/>
        <n v="631.0"/>
        <n v="508.0"/>
        <n v="449.0"/>
        <n v="441.0"/>
        <n v="423.0"/>
        <n v="333.0"/>
        <n v="291.0"/>
        <n v="266.0"/>
        <n v="7037.0"/>
        <n v="69573.0"/>
        <n v="15354.0"/>
        <n v="11349.0"/>
        <n v="10341.0"/>
        <n v="6551.0"/>
        <n v="2581.0"/>
        <n v="2491.0"/>
        <n v="1952.0"/>
        <n v="1687.0"/>
        <n v="1246.0"/>
        <n v="881.0"/>
        <n v="820.0"/>
        <n v="760.0"/>
        <n v="627.0"/>
        <n v="409.0"/>
        <n v="12083.0"/>
        <n v="177724.0"/>
        <n v="46185.0"/>
        <n v="35167.0"/>
        <n v="20357.0"/>
        <n v="8785.0"/>
        <n v="8621.0"/>
        <n v="5899.0"/>
        <n v="5425.0"/>
        <n v="4619.0"/>
        <n v="2445.0"/>
        <n v="2378.0"/>
        <n v="2233.0"/>
        <n v="2025.0"/>
        <n v="1989.0"/>
        <n v="1911.0"/>
        <n v="1513.0"/>
        <n v="28172.0"/>
        <n v="338127.0"/>
        <n v="113324.0"/>
        <n v="72568.0"/>
        <n v="17057.0"/>
        <n v="15942.0"/>
        <n v="13061.0"/>
        <n v="11951.0"/>
        <n v="11364.0"/>
        <n v="7135.0"/>
        <n v="5345.0"/>
        <n v="4947.0"/>
        <n v="4779.0"/>
        <n v="3936.0"/>
        <n v="3137.0"/>
        <n v="1820.0"/>
        <n v="1502.0"/>
        <n v="50259.0"/>
        <n v="454429.0"/>
        <n v="155552.0"/>
        <n v="98432.0"/>
        <n v="35603.0"/>
        <n v="18722.0"/>
        <n v="17279.0"/>
        <n v="10967.0"/>
        <n v="8524.0"/>
        <n v="7693.0"/>
        <n v="7441.0"/>
        <n v="7087.0"/>
        <n v="4561.0"/>
        <n v="4357.0"/>
        <n v="3794.0"/>
        <n v="3215.0"/>
        <n v="2773.0"/>
        <n v="68429.0"/>
        <n v="625013.0"/>
        <n v="153214.0"/>
        <n v="147255.0"/>
        <n v="49346.0"/>
        <n v="36151.0"/>
        <n v="23073.0"/>
        <n v="19587.0"/>
        <n v="14438.0"/>
        <n v="13949.0"/>
        <n v="13317.0"/>
        <n v="10549.0"/>
        <n v="10274.0"/>
        <n v="7216.0"/>
        <n v="4933.0"/>
        <n v="4554.0"/>
        <n v="4014.0"/>
        <n v="113143.0"/>
        <n v="825198.0"/>
        <n v="242469.0"/>
        <n v="98792.0"/>
        <n v="56152.0"/>
        <n v="54729.0"/>
        <n v="42245.0"/>
        <n v="26641.0"/>
        <n v="20537.0"/>
        <n v="17239.0"/>
        <n v="16885.0"/>
        <n v="13991.0"/>
        <n v="10848.0"/>
        <n v="10762.0"/>
        <n v="9218.0"/>
        <n v="5106.0"/>
        <n v="3803.0"/>
        <n v="195781.0"/>
        <n v="1306034.0"/>
        <n v="321347.0"/>
        <n v="307559.0"/>
        <n v="81916.0"/>
        <n v="70317.0"/>
        <n v="53691.0"/>
        <n v="39841.0"/>
        <n v="32055.0"/>
        <n v="26804.0"/>
        <n v="25836.0"/>
        <n v="23709.0"/>
        <n v="23493.0"/>
        <n v="17994.0"/>
        <n v="15088.0"/>
        <n v="12963.0"/>
        <n v="12726.0"/>
        <n v="240695.0"/>
        <n v="2323.0"/>
        <n v="831.0"/>
        <n v="232.0"/>
        <n v="184.0"/>
        <n v="183.0"/>
        <n v="96.0"/>
        <n v="32.0"/>
        <n v="29.0"/>
        <n v="22.0"/>
        <n v="19.0"/>
        <n v="13.0"/>
        <n v="11.0"/>
        <n v="7.0"/>
        <n v="566.0"/>
        <n v="3077.0"/>
        <n v="950.0"/>
        <n v="471.0"/>
        <n v="252.0"/>
        <n v="176.0"/>
        <n v="168.0"/>
        <n v="100.0"/>
        <n v="70.0"/>
        <n v="44.0"/>
        <n v="40.0"/>
        <n v="12.0"/>
        <n v="626.0"/>
        <n v="20864.0"/>
        <n v="8545.0"/>
        <n v="3903.0"/>
        <n v="3765.0"/>
        <n v="859.0"/>
        <n v="628.0"/>
        <n v="223.0"/>
        <n v="120.0"/>
        <n v="114.0"/>
        <n v="101.0"/>
        <n v="95.0"/>
        <n v="85.0"/>
        <n v="81.0"/>
        <n v="74.0"/>
        <n v="57.0"/>
        <n v="54.0"/>
        <n v="2160.0"/>
        <n v="31462.0"/>
        <n v="12025.0"/>
        <n v="5063.0"/>
        <n v="3555.0"/>
        <n v="2214.0"/>
        <n v="1857.0"/>
        <n v="457.0"/>
        <n v="435.0"/>
        <n v="403.0"/>
        <n v="279.0"/>
        <n v="253.0"/>
        <n v="240.0"/>
        <n v="160.0"/>
        <n v="141.0"/>
        <n v="140.0"/>
        <n v="4062.0"/>
        <n v="43072.0"/>
        <n v="10566.0"/>
        <n v="7152.0"/>
        <n v="5003.0"/>
        <n v="4827.0"/>
        <n v="1620.0"/>
        <n v="1211.0"/>
        <n v="938.0"/>
        <n v="842.0"/>
        <n v="464.0"/>
        <n v="397.0"/>
        <n v="365.0"/>
        <n v="342.0"/>
        <n v="264.0"/>
        <n v="251.0"/>
        <n v="6805.0"/>
        <n v="107997.0"/>
        <n v="24830.0"/>
        <n v="22966.0"/>
        <n v="13591.0"/>
        <n v="6393.0"/>
        <n v="5858.0"/>
        <n v="3633.0"/>
        <n v="3067.0"/>
        <n v="2142.0"/>
        <n v="1760.0"/>
        <n v="1479.0"/>
        <n v="1328.0"/>
        <n v="1304.0"/>
        <n v="1277.0"/>
        <n v="1190.0"/>
        <n v="990.0"/>
        <n v="16189.0"/>
        <n v="206325.0"/>
        <n v="62810.0"/>
        <n v="50680.0"/>
        <n v="11658.0"/>
        <n v="8485.0"/>
        <n v="8287.0"/>
        <n v="7933.0"/>
        <n v="6651.0"/>
        <n v="5373.0"/>
        <n v="2892.0"/>
        <n v="2800.0"/>
        <n v="2792.0"/>
        <n v="2745.0"/>
        <n v="1990.0"/>
        <n v="1369.0"/>
        <n v="934.0"/>
        <n v="28926.0"/>
        <n v="257898.0"/>
        <n v="85669.0"/>
        <n v="62634.0"/>
        <n v="17925.0"/>
        <n v="10033.0"/>
        <n v="9857.0"/>
        <n v="7014.0"/>
        <n v="4531.0"/>
        <n v="4469.0"/>
        <n v="4131.0"/>
        <n v="4002.0"/>
        <n v="3072.0"/>
        <n v="2359.0"/>
        <n v="1984.0"/>
        <n v="1657.0"/>
        <n v="36401.0"/>
      </sharedItems>
    </cacheField>
    <cacheField name="Percent of Total Deaths" numFmtId="0">
      <sharedItems containsSemiMixedTypes="0" containsString="0" containsNumber="1">
        <n v="100.0"/>
        <n v="23.5"/>
        <n v="22.5"/>
        <n v="5.7"/>
        <n v="5.0"/>
        <n v="3.3"/>
        <n v="2.9"/>
        <n v="2.2"/>
        <n v="1.8"/>
        <n v="1.6"/>
        <n v="1.5"/>
        <n v="1.4"/>
        <n v="1.2"/>
        <n v="1.0"/>
        <n v="0.7"/>
        <n v="20.7"/>
        <n v="32.4"/>
        <n v="11.7"/>
        <n v="8.3"/>
        <n v="8.1"/>
        <n v="4.2"/>
        <n v="2.5"/>
        <n v="1.3"/>
        <n v="1.1"/>
        <n v="0.9"/>
        <n v="0.6"/>
        <n v="0.5"/>
        <n v="0.4"/>
        <n v="0.3"/>
        <n v="25.1"/>
        <n v="28.5"/>
        <n v="16.8"/>
        <n v="7.4"/>
        <n v="6.4"/>
        <n v="5.2"/>
        <n v="3.2"/>
        <n v="2.4"/>
        <n v="1.7"/>
        <n v="21.5"/>
        <n v="40.8"/>
        <n v="17.1"/>
        <n v="15.2"/>
        <n v="5.3"/>
        <n v="12.4"/>
        <n v="35.7"/>
        <n v="14.0"/>
        <n v="9.3"/>
        <n v="7.2"/>
        <n v="15.5"/>
        <n v="22.1"/>
        <n v="16.3"/>
        <n v="14.9"/>
        <n v="9.4"/>
        <n v="3.7"/>
        <n v="3.6"/>
        <n v="2.8"/>
        <n v="17.4"/>
        <n v="26.0"/>
        <n v="19.8"/>
        <n v="11.5"/>
        <n v="4.9"/>
        <n v="3.1"/>
        <n v="2.6"/>
        <n v="15.9"/>
        <n v="33.5"/>
        <n v="4.7"/>
        <n v="3.9"/>
        <n v="3.5"/>
        <n v="3.4"/>
        <n v="2.1"/>
        <n v="34.2"/>
        <n v="21.7"/>
        <n v="7.8"/>
        <n v="4.1"/>
        <n v="3.8"/>
        <n v="1.9"/>
        <n v="0.8"/>
        <n v="15.1"/>
        <n v="24.5"/>
        <n v="23.6"/>
        <n v="7.9"/>
        <n v="5.8"/>
        <n v="2.3"/>
        <n v="18.1"/>
        <n v="29.4"/>
        <n v="12.0"/>
        <n v="6.8"/>
        <n v="6.6"/>
        <n v="5.1"/>
        <n v="2.0"/>
        <n v="23.7"/>
        <n v="24.6"/>
        <n v="6.3"/>
        <n v="5.4"/>
        <n v="18.4"/>
        <n v="35.8"/>
        <n v="10.0"/>
        <n v="24.4"/>
        <n v="30.9"/>
        <n v="15.3"/>
        <n v="8.2"/>
        <n v="5.5"/>
        <n v="3.0"/>
        <n v="20.3"/>
        <n v="41.0"/>
        <n v="18.7"/>
        <n v="18.0"/>
        <n v="10.4"/>
        <n v="38.2"/>
        <n v="16.1"/>
        <n v="11.3"/>
        <n v="7.0"/>
        <n v="5.9"/>
        <n v="12.9"/>
        <n v="16.6"/>
        <n v="11.6"/>
        <n v="11.2"/>
        <n v="15.8"/>
        <n v="23.0"/>
        <n v="21.3"/>
        <n v="12.6"/>
        <n v="15.0"/>
        <n v="30.4"/>
        <n v="4.0"/>
        <n v="33.2"/>
        <n v="24.3"/>
        <n v="2.7"/>
        <n v="14.1"/>
      </sharedItems>
    </cacheField>
    <cacheField name="Rate" numFmtId="4">
      <sharedItems containsString="0" containsBlank="1" containsNumber="1">
        <n v="821.5"/>
        <n v="193.3"/>
        <n v="185.0"/>
        <n v="47.2"/>
        <n v="41.3"/>
        <n v="40.8"/>
        <n v="26.8"/>
        <n v="23.9"/>
        <n v="18.0"/>
        <n v="14.9"/>
        <n v="13.0"/>
        <n v="12.1"/>
        <n v="11.5"/>
        <n v="9.7"/>
        <n v="8.0"/>
        <n v="5.9"/>
        <n v="170.0"/>
        <n v="25.5"/>
        <n v="8.3"/>
        <n v="3.0"/>
        <n v="2.1"/>
        <n v="1.1"/>
        <n v="0.6"/>
        <n v="0.4"/>
        <n v="0.3"/>
        <n v="0.2"/>
        <n v="0.1"/>
        <m/>
        <n v="6.4"/>
        <n v="3.7"/>
        <n v="2.2"/>
        <n v="1.0"/>
        <n v="0.8"/>
        <n v="0.7"/>
        <n v="2.8"/>
        <n v="64.8"/>
        <n v="26.4"/>
        <n v="11.1"/>
        <n v="9.8"/>
        <n v="3.4"/>
        <n v="8.1"/>
        <n v="106.1"/>
        <n v="37.8"/>
        <n v="14.8"/>
        <n v="9.9"/>
        <n v="8.6"/>
        <n v="7.6"/>
        <n v="1.6"/>
        <n v="1.5"/>
        <n v="1.2"/>
        <n v="16.4"/>
        <n v="172.0"/>
        <n v="38.0"/>
        <n v="28.1"/>
        <n v="25.6"/>
        <n v="16.2"/>
        <n v="6.2"/>
        <n v="4.8"/>
        <n v="4.2"/>
        <n v="3.1"/>
        <n v="2.0"/>
        <n v="1.9"/>
        <n v="29.9"/>
        <n v="406.1"/>
        <n v="105.5"/>
        <n v="80.3"/>
        <n v="46.5"/>
        <n v="20.1"/>
        <n v="19.7"/>
        <n v="13.5"/>
        <n v="12.4"/>
        <n v="10.6"/>
        <n v="5.6"/>
        <n v="5.4"/>
        <n v="5.1"/>
        <n v="4.6"/>
        <n v="4.5"/>
        <n v="4.4"/>
        <n v="3.5"/>
        <n v="64.4"/>
        <n v="860.0"/>
        <n v="288.2"/>
        <n v="184.6"/>
        <n v="43.4"/>
        <n v="40.5"/>
        <n v="33.2"/>
        <n v="30.4"/>
        <n v="28.9"/>
        <n v="18.1"/>
        <n v="13.6"/>
        <n v="12.6"/>
        <n v="12.2"/>
        <n v="10.0"/>
        <n v="3.8"/>
        <n v="127.8"/>
        <n v="1802.1"/>
        <n v="616.9"/>
        <n v="390.3"/>
        <n v="141.2"/>
        <n v="74.2"/>
        <n v="68.5"/>
        <n v="43.5"/>
        <n v="33.8"/>
        <n v="30.5"/>
        <n v="29.5"/>
        <n v="17.3"/>
        <n v="15.0"/>
        <n v="12.7"/>
        <n v="11.0"/>
        <n v="271.4"/>
        <n v="4648.1"/>
        <n v="1139.4"/>
        <n v="1095.1"/>
        <n v="367.0"/>
        <n v="268.9"/>
        <n v="171.6"/>
        <n v="145.7"/>
        <n v="107.4"/>
        <n v="103.7"/>
        <n v="99.0"/>
        <n v="78.5"/>
        <n v="76.4"/>
        <n v="53.7"/>
        <n v="36.7"/>
        <n v="33.9"/>
        <n v="841.4"/>
        <n v="13660.4"/>
        <n v="4013.9"/>
        <n v="1635.4"/>
        <n v="929.5"/>
        <n v="906.0"/>
        <n v="699.3"/>
        <n v="441.0"/>
        <n v="340.0"/>
        <n v="285.4"/>
        <n v="279.5"/>
        <n v="231.6"/>
        <n v="179.6"/>
        <n v="178.2"/>
        <n v="152.6"/>
        <n v="84.5"/>
        <n v="63.0"/>
        <n v="3241.0"/>
        <n v="839.1"/>
        <n v="206.5"/>
        <n v="197.6"/>
        <n v="52.6"/>
        <n v="45.2"/>
        <n v="34.5"/>
        <n v="20.6"/>
        <n v="17.2"/>
        <n v="16.6"/>
        <n v="15.2"/>
        <n v="15.1"/>
        <n v="11.6"/>
        <n v="8.2"/>
        <n v="154.6"/>
        <n v="28.6"/>
        <n v="10.2"/>
        <n v="2.9"/>
        <n v="2.3"/>
        <n v="0.5"/>
        <n v="7.0"/>
        <n v="14.6"/>
        <n v="92.6"/>
        <n v="37.9"/>
        <n v="16.7"/>
        <n v="9.6"/>
        <n v="145.4"/>
        <n v="55.6"/>
        <n v="23.4"/>
        <n v="1.3"/>
        <n v="18.8"/>
        <n v="213.8"/>
        <n v="52.4"/>
        <n v="35.5"/>
        <n v="24.8"/>
        <n v="24.0"/>
        <n v="10.1"/>
        <n v="6.0"/>
        <n v="4.7"/>
        <n v="1.8"/>
        <n v="1.7"/>
        <n v="500.7"/>
        <n v="115.1"/>
        <n v="106.5"/>
        <n v="29.6"/>
        <n v="27.2"/>
        <n v="16.8"/>
        <n v="14.2"/>
        <n v="6.9"/>
        <n v="5.5"/>
        <n v="75.1"/>
        <n v="1088.4"/>
        <n v="331.3"/>
        <n v="267.3"/>
        <n v="61.5"/>
        <n v="44.8"/>
        <n v="43.7"/>
        <n v="41.8"/>
        <n v="35.1"/>
        <n v="28.3"/>
        <n v="15.3"/>
        <n v="14.7"/>
        <n v="14.5"/>
        <n v="10.5"/>
        <n v="7.2"/>
        <n v="4.9"/>
        <n v="2186.0"/>
        <n v="726.2"/>
        <n v="530.9"/>
        <n v="151.9"/>
        <n v="85.0"/>
        <n v="83.6"/>
        <n v="59.5"/>
        <n v="38.4"/>
        <n v="35.0"/>
        <n v="26.0"/>
        <n v="20.0"/>
        <n v="18.3"/>
        <n v="14.0"/>
        <n v="308.5"/>
      </sharedItems>
    </cacheField>
    <cacheField name="Sex Segment" numFmtId="0">
      <sharedItems>
        <s v="both sexes"/>
        <s v="male"/>
      </sharedItems>
    </cacheField>
    <cacheField name="Age Segment" numFmtId="0">
      <sharedItems>
        <s v="all ages"/>
        <s v="1-4 years"/>
        <s v="5-14 years"/>
        <s v="15-24 years"/>
        <s v="25-34 years"/>
        <s v="35-44 years"/>
        <s v="45-54 years"/>
        <s v="55-64 years"/>
        <s v="65-74 years"/>
        <s v="75-84 years"/>
        <s v="85 years and over"/>
      </sharedItems>
    </cacheField>
    <cacheField name="Rate Modified" numFmtId="4">
      <sharedItems containsSemiMixedTypes="0" containsString="0" containsNumber="1">
        <n v="821.5"/>
        <n v="193.3"/>
        <n v="185.0"/>
        <n v="47.2"/>
        <n v="41.3"/>
        <n v="40.8"/>
        <n v="26.8"/>
        <n v="23.9"/>
        <n v="18.0"/>
        <n v="14.9"/>
        <n v="13.0"/>
        <n v="12.1"/>
        <n v="11.5"/>
        <n v="9.7"/>
        <n v="8.0"/>
        <n v="5.9"/>
        <n v="170.0"/>
        <n v="25.5"/>
        <n v="8.3"/>
        <n v="3.0"/>
        <n v="2.1"/>
        <n v="1.1"/>
        <n v="0.6"/>
        <n v="0.4"/>
        <n v="0.3"/>
        <n v="0.2"/>
        <n v="0.1"/>
        <n v="0.0"/>
        <n v="6.4"/>
        <n v="3.7"/>
        <n v="2.2"/>
        <n v="1.0"/>
        <n v="0.8"/>
        <n v="0.7"/>
        <n v="2.8"/>
        <n v="64.8"/>
        <n v="26.4"/>
        <n v="11.1"/>
        <n v="9.8"/>
        <n v="3.4"/>
        <n v="8.1"/>
        <n v="106.1"/>
        <n v="37.8"/>
        <n v="14.8"/>
        <n v="9.9"/>
        <n v="8.6"/>
        <n v="7.6"/>
        <n v="1.6"/>
        <n v="1.5"/>
        <n v="1.2"/>
        <n v="16.4"/>
        <n v="172.0"/>
        <n v="38.0"/>
        <n v="28.1"/>
        <n v="25.6"/>
        <n v="16.2"/>
        <n v="6.2"/>
        <n v="4.8"/>
        <n v="4.2"/>
        <n v="3.1"/>
        <n v="2.0"/>
        <n v="1.9"/>
        <n v="29.9"/>
        <n v="406.1"/>
        <n v="105.5"/>
        <n v="80.3"/>
        <n v="46.5"/>
        <n v="20.1"/>
        <n v="19.7"/>
        <n v="13.5"/>
        <n v="12.4"/>
        <n v="10.6"/>
        <n v="5.6"/>
        <n v="5.4"/>
        <n v="5.1"/>
        <n v="4.6"/>
        <n v="4.5"/>
        <n v="4.4"/>
        <n v="3.5"/>
        <n v="64.4"/>
        <n v="860.0"/>
        <n v="288.2"/>
        <n v="184.6"/>
        <n v="43.4"/>
        <n v="40.5"/>
        <n v="33.2"/>
        <n v="30.4"/>
        <n v="28.9"/>
        <n v="18.1"/>
        <n v="13.6"/>
        <n v="12.6"/>
        <n v="12.2"/>
        <n v="10.0"/>
        <n v="3.8"/>
        <n v="127.8"/>
        <n v="1802.1"/>
        <n v="616.9"/>
        <n v="390.3"/>
        <n v="141.2"/>
        <n v="74.2"/>
        <n v="68.5"/>
        <n v="43.5"/>
        <n v="33.8"/>
        <n v="30.5"/>
        <n v="29.5"/>
        <n v="17.3"/>
        <n v="15.0"/>
        <n v="12.7"/>
        <n v="11.0"/>
        <n v="271.4"/>
        <n v="4648.1"/>
        <n v="1139.4"/>
        <n v="1095.1"/>
        <n v="367.0"/>
        <n v="268.9"/>
        <n v="171.6"/>
        <n v="145.7"/>
        <n v="107.4"/>
        <n v="103.7"/>
        <n v="99.0"/>
        <n v="78.5"/>
        <n v="76.4"/>
        <n v="53.7"/>
        <n v="36.7"/>
        <n v="33.9"/>
        <n v="841.4"/>
        <n v="13660.4"/>
        <n v="4013.9"/>
        <n v="1635.4"/>
        <n v="929.5"/>
        <n v="906.0"/>
        <n v="699.3"/>
        <n v="441.0"/>
        <n v="340.0"/>
        <n v="285.4"/>
        <n v="279.5"/>
        <n v="231.6"/>
        <n v="179.6"/>
        <n v="178.2"/>
        <n v="152.6"/>
        <n v="84.5"/>
        <n v="63.0"/>
        <n v="3241.0"/>
        <n v="839.1"/>
        <n v="206.5"/>
        <n v="197.6"/>
        <n v="52.6"/>
        <n v="45.2"/>
        <n v="34.5"/>
        <n v="20.6"/>
        <n v="17.2"/>
        <n v="16.6"/>
        <n v="15.2"/>
        <n v="15.1"/>
        <n v="11.6"/>
        <n v="8.2"/>
        <n v="154.6"/>
        <n v="28.6"/>
        <n v="10.2"/>
        <n v="2.9"/>
        <n v="2.3"/>
        <n v="0.5"/>
        <n v="7.0"/>
        <n v="14.6"/>
        <n v="92.6"/>
        <n v="37.9"/>
        <n v="16.7"/>
        <n v="9.6"/>
        <n v="145.4"/>
        <n v="55.6"/>
        <n v="23.4"/>
        <n v="1.3"/>
        <n v="18.8"/>
        <n v="213.8"/>
        <n v="52.4"/>
        <n v="35.5"/>
        <n v="24.8"/>
        <n v="24.0"/>
        <n v="10.1"/>
        <n v="6.0"/>
        <n v="4.7"/>
        <n v="1.8"/>
        <n v="1.7"/>
        <n v="500.7"/>
        <n v="115.1"/>
        <n v="106.5"/>
        <n v="29.6"/>
        <n v="27.2"/>
        <n v="16.8"/>
        <n v="14.2"/>
        <n v="6.9"/>
        <n v="5.5"/>
        <n v="75.1"/>
        <n v="1088.4"/>
        <n v="331.3"/>
        <n v="267.3"/>
        <n v="61.5"/>
        <n v="44.8"/>
        <n v="43.7"/>
        <n v="41.8"/>
        <n v="35.1"/>
        <n v="28.3"/>
        <n v="15.3"/>
        <n v="14.7"/>
        <n v="14.5"/>
        <n v="10.5"/>
        <n v="7.2"/>
        <n v="4.9"/>
        <n v="2186.0"/>
        <n v="726.2"/>
        <n v="530.9"/>
        <n v="151.9"/>
        <n v="85.0"/>
        <n v="83.6"/>
        <n v="59.5"/>
        <n v="38.4"/>
        <n v="35.0"/>
        <n v="26.0"/>
        <n v="20.0"/>
        <n v="18.3"/>
        <n v="14.0"/>
        <n v="308.5"/>
      </sharedItems>
    </cacheField>
    <cacheField name="Age Segment Category" numFmtId="0">
      <sharedItems containsSemiMixedTypes="0" containsString="0" containsNumber="1" containsInteger="1">
        <n v="11.0"/>
        <n v="1.0"/>
        <n v="2.0"/>
        <n v="3.0"/>
        <n v="4.0"/>
        <n v="5.0"/>
        <n v="6.0"/>
        <n v="7.0"/>
        <n v="8.0"/>
        <n v="9.0"/>
        <n v="10.0"/>
      </sharedItems>
    </cacheField>
    <cacheField name="Total Population">
      <sharedItems containsMixedTypes="1" containsNumber="1">
        <n v="3.161281801582471E8"/>
        <n v="3.161433005690636E8"/>
        <n v="3.161518918918919E8"/>
        <n v="3.161122881355932E8"/>
        <n v="3.1611864406779665E8"/>
        <n v="3.1612254901960784E8"/>
        <n v="3.1629477611940295E8"/>
        <n v="3.162259414225942E8"/>
        <n v="3.1655E8"/>
        <n v="3.161879194630872E8"/>
        <n v="3.165307692307693E8"/>
        <n v="3.153388429752066E8"/>
        <n v="3.1675652173913044E8"/>
        <n v="3.172164948453608E8"/>
        <n v="3.1495E8"/>
        <n v="3.1489830508474576E8"/>
        <n v="3.162082352941177E8"/>
        <n v="1.5952941176470587E7"/>
        <n v="1.5855421686746987E7"/>
        <n v="1.5866666666666666E7"/>
        <n v="1.6047619047619047E7"/>
        <n v="1.5619047619047618E7"/>
        <n v="1.5363636363636361E7"/>
        <n v="1.7E7"/>
        <n v="1.6E7"/>
        <n v="1.7666666666666668E7"/>
        <n v="1.5666666666666666E7"/>
        <n v="1.5E7"/>
        <n v="1.9E7"/>
        <n v="2.3E7"/>
        <n v="2.0E7"/>
        <e v="#DIV/0!"/>
        <n v="1.5953125E7"/>
        <n v="4.107692307692308E7"/>
        <n v="4.11081081081081E7"/>
        <n v="4.068181818181818E7"/>
        <n v="3.95E7"/>
        <n v="4.25E7"/>
        <n v="3.9571428571428575E7"/>
        <n v="4.325E7"/>
        <n v="3.875E7"/>
        <n v="4.2666666666666664E7"/>
        <n v="4.45E7"/>
        <n v="3.25E7"/>
        <n v="5.5E7"/>
        <n v="3.3E7"/>
        <n v="2.6E7"/>
        <n v="2.4E7"/>
        <n v="4.096428571428572E7"/>
        <n v="4.395987654320988E7"/>
        <n v="4.401136363636364E7"/>
        <n v="4.394594594594595E7"/>
        <n v="4.4173469387755096E7"/>
        <n v="4.4E7"/>
        <n v="4.4809523809523806E7"/>
        <n v="4.525E7"/>
        <n v="4.925E7"/>
        <n v="4.825E7"/>
        <n v="5.1E7"/>
        <n v="4.6E7"/>
        <n v="5.45E7"/>
        <n v="4.95E7"/>
        <n v="4.65E7"/>
        <n v="4.377777777777778E7"/>
        <n v="4.2849198868991524E7"/>
        <n v="4.288095238095238E7"/>
        <n v="4.289189189189189E7"/>
        <n v="4.278787878787878E7"/>
        <n v="4.27093023255814E7"/>
        <n v="4.286842105263159E7"/>
        <n v="4.275E7"/>
        <n v="4.225E7"/>
        <n v="4.2066666666666664E7"/>
        <n v="4.2333333333333336E7"/>
        <n v="4.49E7"/>
        <n v="4.41E7"/>
        <n v="4.23E7"/>
        <n v="4.1625E7"/>
        <n v="4.1571428571428575E7"/>
        <n v="4.4333333333333336E7"/>
        <n v="4.290853658536586E7"/>
        <n v="4.044941860465116E7"/>
        <n v="4.040526315789474E7"/>
        <n v="4.0387900355871886E7"/>
        <n v="4.039453125E7"/>
        <n v="4.0438271604938276E7"/>
        <n v="4.0328125E7"/>
        <n v="4.017741935483871E7"/>
        <n v="4.0666666666666664E7"/>
        <n v="4.0166666666666664E7"/>
        <n v="4.019354838709677E7"/>
        <n v="4.004545454545454E7"/>
        <n v="4.1E7"/>
        <n v="4.000000000000001E7"/>
        <n v="4.18E7"/>
        <n v="4.0090909090909086E7"/>
        <n v="4.09E7"/>
        <n v="4.041137123745819E7"/>
        <n v="4.376360502339325E7"/>
        <n v="4.377725118483412E7"/>
        <n v="4.379452054794521E7"/>
        <n v="4.377849462365591E7"/>
        <n v="4.370646766169154E7"/>
        <n v="4.376142131979696E7"/>
        <n v="4.36962962962963E7"/>
        <n v="4.375E7"/>
        <n v="4.357547169811321E7"/>
        <n v="4.366071428571428E7"/>
        <n v="4.403703703703703E7"/>
        <n v="4.37843137254902E7"/>
        <n v="4.402173913043479E7"/>
        <n v="4.42E7"/>
        <n v="4.343181818181818E7"/>
        <n v="4.322857142857143E7"/>
        <n v="4.374534161490683E7"/>
        <n v="3.931709302325582E7"/>
        <n v="3.9321304649548925E7"/>
        <n v="3.9310942578548215E7"/>
        <n v="3.9301843317972355E7"/>
        <n v="3.936296296296296E7"/>
        <n v="3.934036144578312E7"/>
        <n v="3.931250000000001E7"/>
        <n v="3.932179930795848E7"/>
        <n v="3.941988950276243E7"/>
        <n v="3.93014705882353E7"/>
        <n v="3.926190476190476E7"/>
        <n v="3.917213114754099E7"/>
        <n v="3.936E7"/>
        <n v="3.92125E7"/>
        <n v="3.956521739130435E7"/>
        <n v="3.952631578947369E7"/>
        <n v="3.932629107981221E7"/>
        <n v="2.521663614671772E7"/>
        <n v="2.5215107797049765E7"/>
        <n v="2.5219574686138865E7"/>
        <n v="2.5214589235127483E7"/>
        <n v="2.5231805929919135E7"/>
        <n v="2.5224817518248178E7"/>
        <n v="2.5211494252873562E7"/>
        <n v="2.5218934911242604E7"/>
        <n v="2.5222950819672134E7"/>
        <n v="2.522372881355932E7"/>
        <n v="2.5220640569395017E7"/>
        <n v="2.519889502762431E7"/>
        <n v="2.5184971098265894E7"/>
        <n v="2.5293333333333336E7"/>
        <n v="2.531496062992126E7"/>
        <n v="2.5209090909090906E7"/>
        <n v="2.5213338246131174E7"/>
        <n v="1.3446634108560486E7"/>
        <n v="1.3446901878181497E7"/>
        <n v="1.3446717194776734E7"/>
        <n v="1.3445776566757493E7"/>
        <n v="1.3444031238378579E7"/>
        <n v="1.3445804195804197E7"/>
        <n v="1.344337680164722E7"/>
        <n v="1.3443202979515828E7"/>
        <n v="1.3451301832208294E7"/>
        <n v="1.3451515151515152E7"/>
        <n v="1.3438216560509555E7"/>
        <n v="1.3447643979057591E7"/>
        <n v="1.3437616387337057E7"/>
        <n v="1.3441416893732969E7"/>
        <n v="1.3433628318584071E7"/>
        <n v="1.34247491638796E7"/>
        <n v="1.3446993106726885E7"/>
        <n v="6040804.076015344"/>
        <n v="6040733.451256882"/>
        <n v="6040846.276140394"/>
        <n v="6041097.364174288"/>
        <n v="6040728.476821192"/>
        <n v="6041041.041041042"/>
        <n v="6041043.083900227"/>
        <n v="6040294.117647059"/>
        <n v="6040294.323756132"/>
        <n v="6041144.901610018"/>
        <n v="6041018.998272885"/>
        <n v="6040089.086859689"/>
        <n v="6039281.705948372"/>
        <n v="6040629.095674967"/>
        <n v="6042603.550295858"/>
        <n v="6036507.936507937"/>
        <n v="6040759.024992286"/>
        <n v="1.5564700274103203E8"/>
        <n v="1.5561598062953997E8"/>
        <n v="1.5564726720647773E8"/>
        <n v="1.557338403041825E8"/>
        <n v="1.5556858407079646E8"/>
        <n v="1.5562608695652175E8"/>
        <n v="1.5562890625E8"/>
        <n v="1.5560679611650485E8"/>
        <n v="1.558372093023256E8"/>
        <n v="1.5563855421686745E8"/>
        <n v="1.5598026315789476E8"/>
        <n v="1.5558278145695364E8"/>
        <n v="1.551206896551724E8"/>
        <n v="1.5554639175257733E8"/>
        <n v="1.5618072289156625E8"/>
        <n v="1.5519512195121953E8"/>
        <n v="1.556888745148771E8"/>
        <n v="8122377.622377622"/>
        <n v="8147058.823529412"/>
        <n v="8000000.0"/>
        <n v="8000000.000000001"/>
        <n v="8318181.818181817"/>
        <n v="7571428.571428572"/>
        <n v="7599999.999999999"/>
        <n v="7250000.0"/>
        <n v="7333333.333333333"/>
        <n v="8085714.285714286"/>
        <n v="2.1075342465753425E7"/>
        <n v="2.111111111111111E7"/>
        <n v="2.1409090909090906E7"/>
        <n v="2.1E7"/>
        <n v="2.2E7"/>
        <n v="2.325E7"/>
        <n v="2.3333333333333332E7"/>
        <n v="2.0866666666666668E7"/>
        <n v="2.2531317494600434E7"/>
        <n v="2.254617414248021E7"/>
        <n v="2.2560693641618498E7"/>
        <n v="2.2544910179640718E7"/>
        <n v="2.2605263157894738E7"/>
        <n v="2.242857142857143E7"/>
        <n v="2.23E7"/>
        <n v="2.3999999999999996E7"/>
        <n v="2.2799999999999996E7"/>
        <n v="2.525E7"/>
        <n v="2.375E7"/>
        <n v="2.125E7"/>
        <n v="2.025E7"/>
        <n v="2.4666666666666664E7"/>
        <n v="2.7E7"/>
        <n v="2.25E7"/>
        <n v="2.1638239339752406E7"/>
        <n v="2.162769784172662E7"/>
        <n v="2.1636752136752136E7"/>
        <n v="2.1676829268292688E7"/>
        <n v="2.1705882352941178E7"/>
        <n v="2.1593023255813956E7"/>
        <n v="2.176190476190476E7"/>
        <n v="2.175E7"/>
        <n v="2.1210526315789476E7"/>
        <n v="2.146153846153846E7"/>
        <n v="2.1083333333333332E7"/>
        <n v="2.1818181818181816E7"/>
        <n v="2.225E7"/>
        <n v="2.285714285714286E7"/>
        <n v="2.014285714285714E7"/>
        <n v="2.1606382978723403E7"/>
        <n v="2.0145930776426565E7"/>
        <n v="2.0164122137404583E7"/>
        <n v="2.0146478873239435E7"/>
        <n v="2.0173387096774194E7"/>
        <n v="2.01125E7"/>
        <n v="2.004950495049505E7"/>
        <n v="2.0183333333333332E7"/>
        <n v="1.9957446808510635E7"/>
        <n v="2.0047619047619045E7"/>
        <n v="2.0173913043478265E7"/>
        <n v="1.985E7"/>
        <n v="2.0277777777777776E7"/>
        <n v="2.011764705882353E7"/>
        <n v="2.0307692307692308E7"/>
        <n v="2.0916666666666668E7"/>
        <n v="2.0133136094674557E7"/>
        <n v="2.1569203115638107E7"/>
        <n v="2.1572545612510864E7"/>
        <n v="2.156431924882629E7"/>
        <n v="2.1573015873015873E7"/>
        <n v="2.159797297297297E7"/>
        <n v="2.153676470588235E7"/>
        <n v="2.1624999999999996E7"/>
        <n v="2.1598591549295776E7"/>
        <n v="2.1636363636363633E7"/>
        <n v="2.1463414634146344E7"/>
        <n v="2.143478260869565E7"/>
        <n v="2.1419354838709675E7"/>
        <n v="2.1733333333333332E7"/>
        <n v="2.164406779661017E7"/>
        <n v="2.1636363636363637E7"/>
        <n v="2.1521739130434785E7"/>
        <n v="2.155659121171771E7"/>
        <n v="1.8956725468577728E7"/>
        <n v="1.8958647751282826E7"/>
        <n v="1.8959970071081184E7"/>
        <n v="1.895609756097561E7"/>
        <n v="1.893973214285714E7"/>
        <n v="1.8963386727688786E7"/>
        <n v="1.8978468899521533E7"/>
        <n v="1.8948717948717948E7"/>
        <n v="1.8985865724381626E7"/>
        <n v="1.8901960784313723E7"/>
        <n v="1.8918918918918915E7"/>
        <n v="1.8993197278911564E7"/>
        <n v="1.893103448275862E7"/>
        <n v="1.895238095238095E7"/>
        <n v="1.9013888888888888E7"/>
        <n v="1.9061224489795916E7"/>
        <n v="1.8955439056356486E7"/>
        <n v="1.1797712717291856E7"/>
        <n v="1.1796887909666758E7"/>
        <n v="1.179770201544547E7"/>
        <n v="1.1800526662277814E7"/>
        <n v="1.1803529411764707E7"/>
        <n v="1.179066985645933E7"/>
        <n v="1.1788235294117646E7"/>
        <n v="1.1799479166666666E7"/>
        <n v="1.179155672823219E7"/>
        <n v="1.1802857142857144E7"/>
        <n v="1.1805309734513273E7"/>
        <n v="1.1815384615384616E7"/>
        <n v="1.1795E7"/>
        <n v="1.180327868852459E7"/>
        <n v="1.1809523809523808E7"/>
        <n v="1.1835714285714287E7"/>
        <n v="1.179935170178282E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alysis" cacheId="0" dataCaption="" colGrandTotals="0" compact="0" compactData="0">
  <location ref="H4:S34" firstHeaderRow="0" firstDataRow="1" firstDataCol="1" rowPageCount="2" colPageCount="1"/>
  <pivotFields>
    <pivotField name="RANK" axis="axisPage" compact="0" outline="0" multipleItemSelectionAllowed="1" showAll="0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t="default"/>
      </items>
    </pivotField>
    <pivotField name="Cause of Death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umber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Page" compact="0" outline="0" multipleItemSelectionAllowed="1" showAll="0">
      <items>
        <item x="0"/>
        <item h="1" x="1"/>
        <item h="1" x="2"/>
        <item t="default"/>
      </items>
    </pivotField>
    <pivotField name="Age Seg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ate Modifi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axis="axisCol" compact="0" outline="0" multipleItemSelectionAllowed="1" showAll="0" sortType="ascending">
      <items>
        <item x="11"/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>
    <field x="1"/>
  </rowFields>
  <colFields>
    <field x="8"/>
  </colFields>
  <pageFields>
    <pageField fld="0"/>
    <pageField fld="5"/>
  </pageFields>
  <dataFields>
    <dataField name="SUM of Number" fld="2" baseField="0"/>
  </dataFields>
</pivotTableDefinition>
</file>

<file path=xl/pivotTables/pivotTable2.xml><?xml version="1.0" encoding="utf-8"?>
<pivotTableDefinition xmlns="http://schemas.openxmlformats.org/spreadsheetml/2006/main" name="Analysis 2" cacheId="0" dataCaption="" colGrandTotals="0" compact="0" compactData="0">
  <location ref="V4:AG34" firstHeaderRow="0" firstDataRow="1" firstDataCol="1" rowPageCount="2" colPageCount="1"/>
  <pivotFields>
    <pivotField name="RANK" axis="axisPage" compact="0" outline="0" multipleItemSelectionAllowed="1" showAll="0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t="default"/>
      </items>
    </pivotField>
    <pivotField name="Cause of Death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Page" compact="0" outline="0" multipleItemSelectionAllowed="1" showAll="0">
      <items>
        <item x="0"/>
        <item h="1" x="1"/>
        <item h="1" x="2"/>
        <item t="default"/>
      </items>
    </pivotField>
    <pivotField name="Age Seg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ate Modifie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axis="axisCol" compact="0" outline="0" multipleItemSelectionAllowed="1" showAll="0" sortType="ascending">
      <items>
        <item x="11"/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>
    <field x="1"/>
  </rowFields>
  <colFields>
    <field x="8"/>
  </colFields>
  <pageFields>
    <pageField fld="0"/>
    <pageField fld="5"/>
  </pageFields>
  <dataFields>
    <dataField name="SUM of Rate Modified" fld="7" baseField="0"/>
  </dataFields>
</pivotTableDefinition>
</file>

<file path=xl/pivotTables/pivotTable3.xml><?xml version="1.0" encoding="utf-8"?>
<pivotTableDefinition xmlns="http://schemas.openxmlformats.org/spreadsheetml/2006/main" name="Analysis 3" cacheId="0" dataCaption="" compact="0" compactData="0">
  <location ref="A23:D39" firstHeaderRow="0" firstDataRow="2" firstDataCol="0" rowPageCount="3" colPageCount="1"/>
  <pivotFields>
    <pivotField name="RANK" axis="axisPage" dataField="1" compact="0" outline="0" multipleItemSelectionAllowed="1" showAll="0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t="default"/>
      </items>
    </pivotField>
    <pivotField name="Cause of Death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umber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Page" compact="0" outline="0" multipleItemSelectionAllowed="1" showAll="0">
      <items>
        <item h="1" x="0"/>
        <item x="1"/>
        <item h="1" x="2"/>
        <item t="default"/>
      </items>
    </pivotField>
    <pivotField name="Age Segment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Rate Modifie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-2"/>
  </colFields>
  <pageFields>
    <pageField fld="0"/>
    <pageField fld="6"/>
    <pageField fld="5"/>
  </pageFields>
  <dataFields>
    <dataField name="SUM of Number" fld="2" baseField="0"/>
    <dataField name="SUM of Rate Modified" fld="7" baseField="0"/>
    <dataField name="SUM of RANK" fld="0" baseField="0"/>
  </dataFields>
</pivotTableDefinition>
</file>

<file path=xl/pivotTables/pivotTable4.xml><?xml version="1.0" encoding="utf-8"?>
<pivotTableDefinition xmlns="http://schemas.openxmlformats.org/spreadsheetml/2006/main" name="Analysis 4" cacheId="0" dataCaption="" rowGrandTotals="0" colGrandTotals="0" compact="0" compactData="0">
  <location ref="A44:D53" firstHeaderRow="0" firstDataRow="2" firstDataCol="1" rowPageCount="1" colPageCount="1"/>
  <pivotFields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ause of Death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Col" compact="0" outline="0" multipleItemSelectionAllowed="1" showAll="0" sortType="ascending">
      <items>
        <item x="2"/>
        <item x="0"/>
        <item x="1"/>
        <item t="default"/>
      </items>
    </pivotField>
    <pivotField name="Age Segment" axis="axisRow" compact="0" outline="0" multipleItemSelectionAllowed="1" showAll="0" sortType="ascending">
      <items>
        <item h="1" x="11"/>
        <item x="1"/>
        <item x="3"/>
        <item x="4"/>
        <item x="5"/>
        <item x="6"/>
        <item x="2"/>
        <item x="7"/>
        <item x="8"/>
        <item h="1" x="9"/>
        <item h="1" x="10"/>
        <item h="1" x="0"/>
        <item t="default"/>
      </items>
    </pivotField>
    <pivotField name="Rate Modifie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axis="axisRow" compact="0" outline="0" multipleItemSelectionAllowed="1" showAll="0" sortType="ascending" defaultSubtotal="0">
      <items>
        <item x="11"/>
        <item x="1"/>
        <item x="2"/>
        <item x="3"/>
        <item x="4"/>
        <item x="5"/>
        <item x="6"/>
        <item x="7"/>
        <item x="8"/>
        <item x="9"/>
        <item x="10"/>
        <item x="0"/>
      </items>
    </pivotField>
  </pivotFields>
  <rowFields>
    <field x="8"/>
    <field x="6"/>
  </rowFields>
  <colFields>
    <field x="5"/>
  </colFields>
  <pageFields>
    <pageField fld="1"/>
  </pageFields>
  <dataFields>
    <dataField name="SUM of Rate Modified" fld="7" baseField="0"/>
  </dataFields>
</pivotTableDefinition>
</file>

<file path=xl/pivotTables/pivotTable5.xml><?xml version="1.0" encoding="utf-8"?>
<pivotTableDefinition xmlns="http://schemas.openxmlformats.org/spreadsheetml/2006/main" name="Analysis 5" cacheId="1" dataCaption="" rowGrandTotals="0" colGrandTotals="0" compact="0" compactData="0">
  <location ref="F79:H89" firstHeaderRow="0" firstDataRow="1" firstDataCol="1" rowPageCount="2" colPageCount="1"/>
  <pivotFields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use of Death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Col" compact="0" outline="0" multipleItemSelectionAllowed="1" showAll="0" sortType="ascending">
      <items>
        <item x="0"/>
        <item x="1"/>
        <item t="default"/>
      </items>
    </pivotField>
    <pivotField name="Age Segment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h="1" x="9"/>
        <item h="1" x="10"/>
        <item t="default"/>
      </items>
    </pivotField>
    <pivotField name="Rate Modifi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Age Segment Category" axis="axisRow" compact="0" outline="0" multipleItemSelectionAllowed="1" showAll="0" sortType="ascending">
      <items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  <pivotField name="Total Popul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t="default"/>
      </items>
    </pivotField>
  </pivotFields>
  <rowFields>
    <field x="8"/>
  </rowFields>
  <colFields>
    <field x="5"/>
  </colFields>
  <pageFields>
    <pageField fld="6"/>
    <pageField fld="1"/>
  </pageFields>
  <dataFields>
    <dataField name="SUM of Total Population" fld="9" baseField="0"/>
  </dataFields>
</pivotTableDefinition>
</file>

<file path=xl/pivotTables/pivotTable6.xml><?xml version="1.0" encoding="utf-8"?>
<pivotTableDefinition xmlns="http://schemas.openxmlformats.org/spreadsheetml/2006/main" name="Analysis 6" cacheId="0" dataCaption="" rowGrandTotals="0" colGrandTotals="0" compact="0" compactData="0">
  <location ref="A120:C126" firstHeaderRow="0" firstDataRow="1" firstDataCol="1" rowPageCount="1" colPageCount="1"/>
  <pivotFields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ause of Death" axis="axisRow" compact="0" outline="0" multipleItemSelectionAllowed="1" showAll="0" sortType="ascending">
      <items>
        <item h="1" x="0"/>
        <item x="1"/>
        <item x="2"/>
        <item h="1" x="3"/>
        <item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Col" compact="0" outline="0" multipleItemSelectionAllowed="1" showAll="0" sortType="ascending">
      <items>
        <item x="2"/>
        <item x="0"/>
        <item x="1"/>
        <item t="default"/>
      </items>
    </pivotField>
    <pivotField name="Age Segment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Rate Modifie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5"/>
  </colFields>
  <pageFields>
    <pageField fld="6"/>
  </pageFields>
  <dataFields>
    <dataField name="SUM of Rate Modified" fld="7" baseField="0"/>
  </dataFields>
</pivotTableDefinition>
</file>

<file path=xl/pivotTables/pivotTable7.xml><?xml version="1.0" encoding="utf-8"?>
<pivotTableDefinition xmlns="http://schemas.openxmlformats.org/spreadsheetml/2006/main" name="Dashboard" cacheId="0" dataCaption="" compact="0" compactData="0">
  <location ref="A23:F39" firstHeaderRow="0" firstDataRow="2" firstDataCol="0" rowPageCount="3" colPageCount="1"/>
  <pivotFields>
    <pivotField name="RANK" axis="axisPage" dataField="1" compact="0" outline="0" multipleItemSelectionAllowed="1" showAll="0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t="default"/>
      </items>
    </pivotField>
    <pivotField name="Cause of Death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umber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Page" compact="0" outline="0" multipleItemSelectionAllowed="1" showAll="0">
      <items>
        <item h="1" x="0"/>
        <item x="1"/>
        <item h="1" x="2"/>
        <item t="default"/>
      </items>
    </pivotField>
    <pivotField name="Age Segment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Rate Modifie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-2"/>
  </colFields>
  <pageFields>
    <pageField fld="0"/>
    <pageField fld="6"/>
    <pageField fld="5"/>
  </pageFields>
  <dataFields>
    <dataField name="SUM of Number" fld="2" baseField="0"/>
    <dataField name="AVERAGE of Number" fld="2" subtotal="average" baseField="0"/>
    <dataField name="SUM of Rate Modified" fld="7" baseField="0"/>
    <dataField name="AVERAGE of Rate Modified" fld="7" subtotal="average" baseField="0"/>
    <dataField name="SUM of RANK" fld="0" baseField="0"/>
  </dataFields>
</pivotTableDefinition>
</file>

<file path=xl/pivotTables/pivotTable8.xml><?xml version="1.0" encoding="utf-8"?>
<pivotTableDefinition xmlns="http://schemas.openxmlformats.org/spreadsheetml/2006/main" name="Dashboard 2" cacheId="0" dataCaption="" rowGrandTotals="0" colGrandTotals="0" compact="0" compactData="0">
  <location ref="A44:C52" firstHeaderRow="0" firstDataRow="1" firstDataCol="1" rowPageCount="2" colPageCount="1"/>
  <pivotFields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ause of Death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Col" compact="0" outline="0" multipleItemSelectionAllowed="1" showAll="0" sortType="ascending">
      <items>
        <item x="2"/>
        <item x="0"/>
        <item x="1"/>
        <item t="default"/>
      </items>
    </pivotField>
    <pivotField name="Age Segment" axis="axisPage" compact="0" outline="0" multipleItemSelectionAllowed="1" showAll="0">
      <items>
        <item h="1" x="0"/>
        <item x="1"/>
        <item x="2"/>
        <item x="3"/>
        <item x="4"/>
        <item x="5"/>
        <item x="6"/>
        <item x="7"/>
        <item h="1" x="8"/>
        <item h="1" x="9"/>
        <item h="1" x="10"/>
        <item h="1" x="11"/>
        <item t="default"/>
      </items>
    </pivotField>
    <pivotField name="Rate Modifie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axis="axisRow" compact="0" outline="0" multipleItemSelectionAllowed="1" showAll="0" sortType="ascending">
      <items>
        <item x="11"/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>
    <field x="8"/>
  </rowFields>
  <colFields>
    <field x="5"/>
  </colFields>
  <pageFields>
    <pageField fld="6"/>
    <pageField fld="1"/>
  </pageFields>
  <dataFields>
    <dataField name="SUM of Rate Modified" fld="7" baseField="0"/>
  </dataFields>
</pivotTableDefinition>
</file>

<file path=xl/pivotTables/pivotTable9.xml><?xml version="1.0" encoding="utf-8"?>
<pivotTableDefinition xmlns="http://schemas.openxmlformats.org/spreadsheetml/2006/main" name="Dashboard 3" cacheId="1" dataCaption="" rowGrandTotals="0" colGrandTotals="0" compact="0" compactData="0">
  <location ref="F79:H89" firstHeaderRow="0" firstDataRow="1" firstDataCol="1" rowPageCount="2" colPageCount="1"/>
  <pivotFields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use of Death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t="default"/>
      </items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Col" compact="0" outline="0" multipleItemSelectionAllowed="1" showAll="0" sortType="ascending">
      <items>
        <item x="0"/>
        <item x="1"/>
        <item t="default"/>
      </items>
    </pivotField>
    <pivotField name="Age Segment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h="1" x="9"/>
        <item h="1" x="10"/>
        <item t="default"/>
      </items>
    </pivotField>
    <pivotField name="Rate Modifi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Age Segment Category" axis="axisRow" compact="0" outline="0" multipleItemSelectionAllowed="1" showAll="0" sortType="ascending">
      <items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  <pivotField name="Total Popul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t="default"/>
      </items>
    </pivotField>
  </pivotFields>
  <rowFields>
    <field x="8"/>
  </rowFields>
  <colFields>
    <field x="5"/>
  </colFields>
  <pageFields>
    <pageField fld="6"/>
    <pageField fld="1"/>
  </pageFields>
  <dataFields>
    <dataField name="SUM of Total Population" fld="9" baseField="0"/>
  </dataFields>
</pivotTableDefinition>
</file>

<file path=xl/pivotTables/pivotTable10.xml><?xml version="1.0" encoding="utf-8"?>
<pivotTableDefinition xmlns="http://schemas.openxmlformats.org/spreadsheetml/2006/main" name="Dashboard 4" cacheId="0" dataCaption="" rowGrandTotals="0" colGrandTotals="0" compact="0" compactData="0">
  <location ref="A111:C117" firstHeaderRow="0" firstDataRow="1" firstDataCol="1" rowPageCount="1" colPageCount="1"/>
  <pivotFields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ause of Death" axis="axisRow" compact="0" outline="0" multipleItemSelectionAllowed="1" showAll="0" sortType="ascending">
      <items>
        <item h="1" x="0"/>
        <item x="1"/>
        <item x="2"/>
        <item h="1" x="3"/>
        <item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umber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Col" compact="0" outline="0" multipleItemSelectionAllowed="1" showAll="0" sortType="ascending">
      <items>
        <item x="2"/>
        <item x="0"/>
        <item x="1"/>
        <item t="default"/>
      </items>
    </pivotField>
    <pivotField name="Age Segment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Rate Modified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5"/>
  </colFields>
  <pageFields>
    <pageField fld="6"/>
  </pageFields>
  <dataFields>
    <dataField name="SUM of Number" fld="2" baseField="0"/>
  </dataFields>
</pivotTableDefinition>
</file>

<file path=xl/pivotTables/pivotTable11.xml><?xml version="1.0" encoding="utf-8"?>
<pivotTableDefinition xmlns="http://schemas.openxmlformats.org/spreadsheetml/2006/main" name="Dashboard 5" cacheId="0" dataCaption="" rowGrandTotals="0" colGrandTotals="0" compact="0" compactData="0">
  <location ref="A121:C127" firstHeaderRow="0" firstDataRow="1" firstDataCol="1" rowPageCount="1" colPageCount="1"/>
  <pivotFields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ause of Death" axis="axisRow" compact="0" outline="0" multipleItemSelectionAllowed="1" showAll="0" sortType="ascending">
      <items>
        <item h="1" x="0"/>
        <item x="1"/>
        <item x="2"/>
        <item h="1" x="3"/>
        <item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  <pivotField name="Percent of Total Death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Rat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Sex Segment" axis="axisCol" compact="0" outline="0" multipleItemSelectionAllowed="1" showAll="0" sortType="ascending">
      <items>
        <item x="2"/>
        <item x="0"/>
        <item x="1"/>
        <item t="default"/>
      </items>
    </pivotField>
    <pivotField name="Age Segment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Rate Modifie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Age Segment 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5"/>
  </colFields>
  <pageFields>
    <pageField fld="6"/>
  </pageFields>
  <dataFields>
    <dataField name="SUM of Rate Modified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Relationship Id="rId3" Type="http://schemas.openxmlformats.org/officeDocument/2006/relationships/pivotTable" Target="../pivotTables/pivotTable9.xml"/><Relationship Id="rId4" Type="http://schemas.openxmlformats.org/officeDocument/2006/relationships/pivotTable" Target="../pivotTables/pivotTable10.xml"/><Relationship Id="rId5" Type="http://schemas.openxmlformats.org/officeDocument/2006/relationships/pivotTable" Target="../pivotTables/pivotTable11.xm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55.57"/>
    <col customWidth="1" min="4" max="4" width="17.57"/>
    <col customWidth="1" min="6" max="7" width="19.86"/>
    <col customWidth="1" min="20" max="20" width="16.43"/>
    <col customWidth="1" min="22" max="22" width="21.43"/>
  </cols>
  <sheetData>
    <row r="1">
      <c r="A1" s="1"/>
      <c r="T1" s="2" t="s">
        <v>0</v>
      </c>
      <c r="U1" s="2" t="s">
        <v>1</v>
      </c>
      <c r="V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0</v>
      </c>
      <c r="H2" s="3" t="s">
        <v>9</v>
      </c>
      <c r="I2" s="3" t="s">
        <v>10</v>
      </c>
      <c r="J2" s="4" t="s">
        <v>11</v>
      </c>
      <c r="T2" s="5" t="str">
        <f>IFERROR(__xludf.DUMMYFUNCTION("UNIQUE(G4:G1019)"),"all ages")</f>
        <v>all ages</v>
      </c>
      <c r="U2" s="6">
        <v>11.0</v>
      </c>
      <c r="V2" s="6" t="str">
        <f t="shared" ref="V2:V12" si="1">CONCATENATE("T", RIGHT(CONCAT("00", U2), 2), ": ", T2)</f>
        <v>T11: all ages</v>
      </c>
    </row>
    <row r="3">
      <c r="A3" s="7" t="s">
        <v>12</v>
      </c>
      <c r="B3" s="5" t="str">
        <f>IFERROR(__xludf.DUMMYFUNCTION("QUERY('Raw Data (Do not touch)'!A3:L400, ""SELECT C, D, E, F, K, L WHERE L != ''"")"),"All causes")</f>
        <v>All causes</v>
      </c>
      <c r="C3" s="8">
        <f>IFERROR(__xludf.DUMMYFUNCTION("""COMPUTED_VALUE"""),2596993.0)</f>
        <v>2596993</v>
      </c>
      <c r="D3" s="5">
        <f>IFERROR(__xludf.DUMMYFUNCTION("""COMPUTED_VALUE"""),100.0)</f>
        <v>100</v>
      </c>
      <c r="E3" s="9">
        <f>IFERROR(__xludf.DUMMYFUNCTION("""COMPUTED_VALUE"""),821.5)</f>
        <v>821.5</v>
      </c>
      <c r="F3" s="5" t="str">
        <f>IFERROR(__xludf.DUMMYFUNCTION("""COMPUTED_VALUE"""),"both sexes")</f>
        <v>both sexes</v>
      </c>
      <c r="G3" s="5" t="str">
        <f>IFERROR(__xludf.DUMMYFUNCTION("""COMPUTED_VALUE"""),"all ages")</f>
        <v>all ages</v>
      </c>
      <c r="H3" s="9">
        <f t="shared" ref="H3:H239" si="2">IF(E3="", 0, E3)</f>
        <v>821.5</v>
      </c>
      <c r="I3" s="5">
        <f t="shared" ref="I3:I342" si="3">VLOOKUP($G3, $T$2:$U$12, 2, 0)</f>
        <v>11</v>
      </c>
      <c r="J3" s="10">
        <f>IF(B3 = "All causes", 100000*(C3/(H3)),)</f>
        <v>316128180.2</v>
      </c>
      <c r="T3" s="5" t="str">
        <f>IFERROR(__xludf.DUMMYFUNCTION("""COMPUTED_VALUE"""),"1-4 years")</f>
        <v>1-4 years</v>
      </c>
      <c r="U3" s="6">
        <v>1.0</v>
      </c>
      <c r="V3" s="6" t="str">
        <f t="shared" si="1"/>
        <v>T01: 1-4 years</v>
      </c>
    </row>
    <row r="4">
      <c r="A4" s="11">
        <v>1.0</v>
      </c>
      <c r="B4" s="5" t="str">
        <f>IFERROR(__xludf.DUMMYFUNCTION("""COMPUTED_VALUE"""),"Diseases of heart (I00-I09,I11,I13,I20-I51)")</f>
        <v>Diseases of heart (I00-I09,I11,I13,I20-I51)</v>
      </c>
      <c r="C4" s="8">
        <f>IFERROR(__xludf.DUMMYFUNCTION("""COMPUTED_VALUE"""),611105.0)</f>
        <v>611105</v>
      </c>
      <c r="D4" s="5">
        <f>IFERROR(__xludf.DUMMYFUNCTION("""COMPUTED_VALUE"""),23.5)</f>
        <v>23.5</v>
      </c>
      <c r="E4" s="9">
        <f>IFERROR(__xludf.DUMMYFUNCTION("""COMPUTED_VALUE"""),193.3)</f>
        <v>193.3</v>
      </c>
      <c r="F4" s="5" t="str">
        <f>IFERROR(__xludf.DUMMYFUNCTION("""COMPUTED_VALUE"""),"both sexes")</f>
        <v>both sexes</v>
      </c>
      <c r="G4" s="5" t="str">
        <f>IFERROR(__xludf.DUMMYFUNCTION("""COMPUTED_VALUE"""),"all ages")</f>
        <v>all ages</v>
      </c>
      <c r="H4" s="9">
        <f t="shared" si="2"/>
        <v>193.3</v>
      </c>
      <c r="I4" s="5">
        <f t="shared" si="3"/>
        <v>11</v>
      </c>
      <c r="J4" s="5">
        <f t="shared" ref="J4:J342" si="4">C4/(H4/100000)</f>
        <v>316143300.6</v>
      </c>
      <c r="T4" s="5" t="str">
        <f>IFERROR(__xludf.DUMMYFUNCTION("""COMPUTED_VALUE"""),"5-14 years")</f>
        <v>5-14 years</v>
      </c>
      <c r="U4" s="5">
        <f t="shared" ref="U4:U12" si="5">U3+1</f>
        <v>2</v>
      </c>
      <c r="V4" s="6" t="str">
        <f t="shared" si="1"/>
        <v>T02: 5-14 years</v>
      </c>
    </row>
    <row r="5">
      <c r="A5" s="11">
        <v>2.0</v>
      </c>
      <c r="B5" s="5" t="str">
        <f>IFERROR(__xludf.DUMMYFUNCTION("""COMPUTED_VALUE"""),"Malignant neoplasms (C00-C97)")</f>
        <v>Malignant neoplasms (C00-C97)</v>
      </c>
      <c r="C5" s="8">
        <f>IFERROR(__xludf.DUMMYFUNCTION("""COMPUTED_VALUE"""),584881.0)</f>
        <v>584881</v>
      </c>
      <c r="D5" s="5">
        <f>IFERROR(__xludf.DUMMYFUNCTION("""COMPUTED_VALUE"""),22.5)</f>
        <v>22.5</v>
      </c>
      <c r="E5" s="9">
        <f>IFERROR(__xludf.DUMMYFUNCTION("""COMPUTED_VALUE"""),185.0)</f>
        <v>185</v>
      </c>
      <c r="F5" s="5" t="str">
        <f>IFERROR(__xludf.DUMMYFUNCTION("""COMPUTED_VALUE"""),"both sexes")</f>
        <v>both sexes</v>
      </c>
      <c r="G5" s="5" t="str">
        <f>IFERROR(__xludf.DUMMYFUNCTION("""COMPUTED_VALUE"""),"all ages")</f>
        <v>all ages</v>
      </c>
      <c r="H5" s="9">
        <f t="shared" si="2"/>
        <v>185</v>
      </c>
      <c r="I5" s="5">
        <f t="shared" si="3"/>
        <v>11</v>
      </c>
      <c r="J5" s="5">
        <f t="shared" si="4"/>
        <v>316151891.9</v>
      </c>
      <c r="T5" s="5" t="str">
        <f>IFERROR(__xludf.DUMMYFUNCTION("""COMPUTED_VALUE"""),"15-24 years")</f>
        <v>15-24 years</v>
      </c>
      <c r="U5" s="5">
        <f t="shared" si="5"/>
        <v>3</v>
      </c>
      <c r="V5" s="6" t="str">
        <f t="shared" si="1"/>
        <v>T03: 15-24 years</v>
      </c>
    </row>
    <row r="6">
      <c r="A6" s="11">
        <v>3.0</v>
      </c>
      <c r="B6" s="5" t="str">
        <f>IFERROR(__xludf.DUMMYFUNCTION("""COMPUTED_VALUE"""),"Chronic lower respiratory diseases (J40-J47)")</f>
        <v>Chronic lower respiratory diseases (J40-J47)</v>
      </c>
      <c r="C6" s="8">
        <f>IFERROR(__xludf.DUMMYFUNCTION("""COMPUTED_VALUE"""),149205.0)</f>
        <v>149205</v>
      </c>
      <c r="D6" s="5">
        <f>IFERROR(__xludf.DUMMYFUNCTION("""COMPUTED_VALUE"""),5.7)</f>
        <v>5.7</v>
      </c>
      <c r="E6" s="9">
        <f>IFERROR(__xludf.DUMMYFUNCTION("""COMPUTED_VALUE"""),47.2)</f>
        <v>47.2</v>
      </c>
      <c r="F6" s="5" t="str">
        <f>IFERROR(__xludf.DUMMYFUNCTION("""COMPUTED_VALUE"""),"both sexes")</f>
        <v>both sexes</v>
      </c>
      <c r="G6" s="5" t="str">
        <f>IFERROR(__xludf.DUMMYFUNCTION("""COMPUTED_VALUE"""),"all ages")</f>
        <v>all ages</v>
      </c>
      <c r="H6" s="9">
        <f t="shared" si="2"/>
        <v>47.2</v>
      </c>
      <c r="I6" s="5">
        <f t="shared" si="3"/>
        <v>11</v>
      </c>
      <c r="J6" s="5">
        <f t="shared" si="4"/>
        <v>316112288.1</v>
      </c>
      <c r="T6" s="5" t="str">
        <f>IFERROR(__xludf.DUMMYFUNCTION("""COMPUTED_VALUE"""),"25-34 years")</f>
        <v>25-34 years</v>
      </c>
      <c r="U6" s="5">
        <f t="shared" si="5"/>
        <v>4</v>
      </c>
      <c r="V6" s="6" t="str">
        <f t="shared" si="1"/>
        <v>T04: 25-34 years</v>
      </c>
    </row>
    <row r="7">
      <c r="A7" s="11">
        <v>4.0</v>
      </c>
      <c r="B7" s="5" t="str">
        <f>IFERROR(__xludf.DUMMYFUNCTION("""COMPUTED_VALUE"""),"Accidents (unintentional injuries) (V01-X59,Y85-Y86)")</f>
        <v>Accidents (unintentional injuries) (V01-X59,Y85-Y86)</v>
      </c>
      <c r="C7" s="8">
        <f>IFERROR(__xludf.DUMMYFUNCTION("""COMPUTED_VALUE"""),130557.0)</f>
        <v>130557</v>
      </c>
      <c r="D7" s="5">
        <f>IFERROR(__xludf.DUMMYFUNCTION("""COMPUTED_VALUE"""),5.0)</f>
        <v>5</v>
      </c>
      <c r="E7" s="9">
        <f>IFERROR(__xludf.DUMMYFUNCTION("""COMPUTED_VALUE"""),41.3)</f>
        <v>41.3</v>
      </c>
      <c r="F7" s="5" t="str">
        <f>IFERROR(__xludf.DUMMYFUNCTION("""COMPUTED_VALUE"""),"both sexes")</f>
        <v>both sexes</v>
      </c>
      <c r="G7" s="5" t="str">
        <f>IFERROR(__xludf.DUMMYFUNCTION("""COMPUTED_VALUE"""),"all ages")</f>
        <v>all ages</v>
      </c>
      <c r="H7" s="9">
        <f t="shared" si="2"/>
        <v>41.3</v>
      </c>
      <c r="I7" s="5">
        <f t="shared" si="3"/>
        <v>11</v>
      </c>
      <c r="J7" s="5">
        <f t="shared" si="4"/>
        <v>316118644.1</v>
      </c>
      <c r="T7" s="5" t="str">
        <f>IFERROR(__xludf.DUMMYFUNCTION("""COMPUTED_VALUE"""),"35-44 years")</f>
        <v>35-44 years</v>
      </c>
      <c r="U7" s="5">
        <f t="shared" si="5"/>
        <v>5</v>
      </c>
      <c r="V7" s="6" t="str">
        <f t="shared" si="1"/>
        <v>T05: 35-44 years</v>
      </c>
    </row>
    <row r="8">
      <c r="A8" s="11">
        <v>5.0</v>
      </c>
      <c r="B8" s="5" t="str">
        <f>IFERROR(__xludf.DUMMYFUNCTION("""COMPUTED_VALUE"""),"Cerebrovascular diseases (I60-I69)")</f>
        <v>Cerebrovascular diseases (I60-I69)</v>
      </c>
      <c r="C8" s="8">
        <f>IFERROR(__xludf.DUMMYFUNCTION("""COMPUTED_VALUE"""),128978.0)</f>
        <v>128978</v>
      </c>
      <c r="D8" s="5">
        <f>IFERROR(__xludf.DUMMYFUNCTION("""COMPUTED_VALUE"""),5.0)</f>
        <v>5</v>
      </c>
      <c r="E8" s="9">
        <f>IFERROR(__xludf.DUMMYFUNCTION("""COMPUTED_VALUE"""),40.8)</f>
        <v>40.8</v>
      </c>
      <c r="F8" s="5" t="str">
        <f>IFERROR(__xludf.DUMMYFUNCTION("""COMPUTED_VALUE"""),"both sexes")</f>
        <v>both sexes</v>
      </c>
      <c r="G8" s="5" t="str">
        <f>IFERROR(__xludf.DUMMYFUNCTION("""COMPUTED_VALUE"""),"all ages")</f>
        <v>all ages</v>
      </c>
      <c r="H8" s="9">
        <f t="shared" si="2"/>
        <v>40.8</v>
      </c>
      <c r="I8" s="5">
        <f t="shared" si="3"/>
        <v>11</v>
      </c>
      <c r="J8" s="5">
        <f t="shared" si="4"/>
        <v>316122549</v>
      </c>
      <c r="T8" s="5" t="str">
        <f>IFERROR(__xludf.DUMMYFUNCTION("""COMPUTED_VALUE"""),"45-54 years")</f>
        <v>45-54 years</v>
      </c>
      <c r="U8" s="5">
        <f t="shared" si="5"/>
        <v>6</v>
      </c>
      <c r="V8" s="6" t="str">
        <f t="shared" si="1"/>
        <v>T06: 45-54 years</v>
      </c>
    </row>
    <row r="9">
      <c r="A9" s="11">
        <v>6.0</v>
      </c>
      <c r="B9" s="5" t="str">
        <f>IFERROR(__xludf.DUMMYFUNCTION("""COMPUTED_VALUE"""),"Alzheimer's disease (G30)")</f>
        <v>Alzheimer's disease (G30)</v>
      </c>
      <c r="C9" s="8">
        <f>IFERROR(__xludf.DUMMYFUNCTION("""COMPUTED_VALUE"""),84767.0)</f>
        <v>84767</v>
      </c>
      <c r="D9" s="5">
        <f>IFERROR(__xludf.DUMMYFUNCTION("""COMPUTED_VALUE"""),3.3)</f>
        <v>3.3</v>
      </c>
      <c r="E9" s="9">
        <f>IFERROR(__xludf.DUMMYFUNCTION("""COMPUTED_VALUE"""),26.8)</f>
        <v>26.8</v>
      </c>
      <c r="F9" s="5" t="str">
        <f>IFERROR(__xludf.DUMMYFUNCTION("""COMPUTED_VALUE"""),"both sexes")</f>
        <v>both sexes</v>
      </c>
      <c r="G9" s="5" t="str">
        <f>IFERROR(__xludf.DUMMYFUNCTION("""COMPUTED_VALUE"""),"all ages")</f>
        <v>all ages</v>
      </c>
      <c r="H9" s="9">
        <f t="shared" si="2"/>
        <v>26.8</v>
      </c>
      <c r="I9" s="5">
        <f t="shared" si="3"/>
        <v>11</v>
      </c>
      <c r="J9" s="5">
        <f t="shared" si="4"/>
        <v>316294776.1</v>
      </c>
      <c r="T9" s="5" t="str">
        <f>IFERROR(__xludf.DUMMYFUNCTION("""COMPUTED_VALUE"""),"55-64 years")</f>
        <v>55-64 years</v>
      </c>
      <c r="U9" s="5">
        <f t="shared" si="5"/>
        <v>7</v>
      </c>
      <c r="V9" s="6" t="str">
        <f t="shared" si="1"/>
        <v>T07: 55-64 years</v>
      </c>
    </row>
    <row r="10">
      <c r="A10" s="11">
        <v>7.0</v>
      </c>
      <c r="B10" s="5" t="str">
        <f>IFERROR(__xludf.DUMMYFUNCTION("""COMPUTED_VALUE"""),"Diabetes mellitus (E10-E14)")</f>
        <v>Diabetes mellitus (E10-E14)</v>
      </c>
      <c r="C10" s="8">
        <f>IFERROR(__xludf.DUMMYFUNCTION("""COMPUTED_VALUE"""),75578.0)</f>
        <v>75578</v>
      </c>
      <c r="D10" s="5">
        <f>IFERROR(__xludf.DUMMYFUNCTION("""COMPUTED_VALUE"""),2.9)</f>
        <v>2.9</v>
      </c>
      <c r="E10" s="9">
        <f>IFERROR(__xludf.DUMMYFUNCTION("""COMPUTED_VALUE"""),23.9)</f>
        <v>23.9</v>
      </c>
      <c r="F10" s="5" t="str">
        <f>IFERROR(__xludf.DUMMYFUNCTION("""COMPUTED_VALUE"""),"both sexes")</f>
        <v>both sexes</v>
      </c>
      <c r="G10" s="5" t="str">
        <f>IFERROR(__xludf.DUMMYFUNCTION("""COMPUTED_VALUE"""),"all ages")</f>
        <v>all ages</v>
      </c>
      <c r="H10" s="9">
        <f t="shared" si="2"/>
        <v>23.9</v>
      </c>
      <c r="I10" s="5">
        <f t="shared" si="3"/>
        <v>11</v>
      </c>
      <c r="J10" s="5">
        <f t="shared" si="4"/>
        <v>316225941.4</v>
      </c>
      <c r="T10" s="5" t="str">
        <f>IFERROR(__xludf.DUMMYFUNCTION("""COMPUTED_VALUE"""),"65-74 years")</f>
        <v>65-74 years</v>
      </c>
      <c r="U10" s="5">
        <f t="shared" si="5"/>
        <v>8</v>
      </c>
      <c r="V10" s="6" t="str">
        <f t="shared" si="1"/>
        <v>T08: 65-74 years</v>
      </c>
    </row>
    <row r="11">
      <c r="A11" s="11">
        <v>8.0</v>
      </c>
      <c r="B11" s="5" t="str">
        <f>IFERROR(__xludf.DUMMYFUNCTION("""COMPUTED_VALUE"""),"Influenza and pneumonia (J09-J18)")</f>
        <v>Influenza and pneumonia (J09-J18)</v>
      </c>
      <c r="C11" s="8">
        <f>IFERROR(__xludf.DUMMYFUNCTION("""COMPUTED_VALUE"""),56979.0)</f>
        <v>56979</v>
      </c>
      <c r="D11" s="5">
        <f>IFERROR(__xludf.DUMMYFUNCTION("""COMPUTED_VALUE"""),2.2)</f>
        <v>2.2</v>
      </c>
      <c r="E11" s="9">
        <f>IFERROR(__xludf.DUMMYFUNCTION("""COMPUTED_VALUE"""),18.0)</f>
        <v>18</v>
      </c>
      <c r="F11" s="5" t="str">
        <f>IFERROR(__xludf.DUMMYFUNCTION("""COMPUTED_VALUE"""),"both sexes")</f>
        <v>both sexes</v>
      </c>
      <c r="G11" s="5" t="str">
        <f>IFERROR(__xludf.DUMMYFUNCTION("""COMPUTED_VALUE"""),"all ages")</f>
        <v>all ages</v>
      </c>
      <c r="H11" s="9">
        <f t="shared" si="2"/>
        <v>18</v>
      </c>
      <c r="I11" s="5">
        <f t="shared" si="3"/>
        <v>11</v>
      </c>
      <c r="J11" s="5">
        <f t="shared" si="4"/>
        <v>316550000</v>
      </c>
      <c r="T11" s="5" t="str">
        <f>IFERROR(__xludf.DUMMYFUNCTION("""COMPUTED_VALUE"""),"75-84 years")</f>
        <v>75-84 years</v>
      </c>
      <c r="U11" s="5">
        <f t="shared" si="5"/>
        <v>9</v>
      </c>
      <c r="V11" s="6" t="str">
        <f t="shared" si="1"/>
        <v>T09: 75-84 years</v>
      </c>
    </row>
    <row r="12">
      <c r="A12" s="11">
        <v>9.0</v>
      </c>
      <c r="B12" s="5" t="str">
        <f>IFERROR(__xludf.DUMMYFUNCTION("""COMPUTED_VALUE"""),"Nephritis, nephrotic syndrome and nephrosis (N00-N07,N17-N19,N25-N27)")</f>
        <v>Nephritis, nephrotic syndrome and nephrosis (N00-N07,N17-N19,N25-N27)</v>
      </c>
      <c r="C12" s="8">
        <f>IFERROR(__xludf.DUMMYFUNCTION("""COMPUTED_VALUE"""),47112.0)</f>
        <v>47112</v>
      </c>
      <c r="D12" s="5">
        <f>IFERROR(__xludf.DUMMYFUNCTION("""COMPUTED_VALUE"""),1.8)</f>
        <v>1.8</v>
      </c>
      <c r="E12" s="9">
        <f>IFERROR(__xludf.DUMMYFUNCTION("""COMPUTED_VALUE"""),14.9)</f>
        <v>14.9</v>
      </c>
      <c r="F12" s="5" t="str">
        <f>IFERROR(__xludf.DUMMYFUNCTION("""COMPUTED_VALUE"""),"both sexes")</f>
        <v>both sexes</v>
      </c>
      <c r="G12" s="5" t="str">
        <f>IFERROR(__xludf.DUMMYFUNCTION("""COMPUTED_VALUE"""),"all ages")</f>
        <v>all ages</v>
      </c>
      <c r="H12" s="9">
        <f t="shared" si="2"/>
        <v>14.9</v>
      </c>
      <c r="I12" s="5">
        <f t="shared" si="3"/>
        <v>11</v>
      </c>
      <c r="J12" s="5">
        <f t="shared" si="4"/>
        <v>316187919.5</v>
      </c>
      <c r="T12" s="5" t="str">
        <f>IFERROR(__xludf.DUMMYFUNCTION("""COMPUTED_VALUE"""),"85 years and over")</f>
        <v>85 years and over</v>
      </c>
      <c r="U12" s="5">
        <f t="shared" si="5"/>
        <v>10</v>
      </c>
      <c r="V12" s="6" t="str">
        <f t="shared" si="1"/>
        <v>T10: 85 years and over</v>
      </c>
    </row>
    <row r="13">
      <c r="A13" s="11">
        <v>10.0</v>
      </c>
      <c r="B13" s="5" t="str">
        <f>IFERROR(__xludf.DUMMYFUNCTION("""COMPUTED_VALUE"""),"Intentional self-harm (suicide) (*U03,X60-X84,Y87.0)")</f>
        <v>Intentional self-harm (suicide) (*U03,X60-X84,Y87.0)</v>
      </c>
      <c r="C13" s="8">
        <f>IFERROR(__xludf.DUMMYFUNCTION("""COMPUTED_VALUE"""),41149.0)</f>
        <v>41149</v>
      </c>
      <c r="D13" s="5">
        <f>IFERROR(__xludf.DUMMYFUNCTION("""COMPUTED_VALUE"""),1.6)</f>
        <v>1.6</v>
      </c>
      <c r="E13" s="9">
        <f>IFERROR(__xludf.DUMMYFUNCTION("""COMPUTED_VALUE"""),13.0)</f>
        <v>13</v>
      </c>
      <c r="F13" s="5" t="str">
        <f>IFERROR(__xludf.DUMMYFUNCTION("""COMPUTED_VALUE"""),"both sexes")</f>
        <v>both sexes</v>
      </c>
      <c r="G13" s="5" t="str">
        <f>IFERROR(__xludf.DUMMYFUNCTION("""COMPUTED_VALUE"""),"all ages")</f>
        <v>all ages</v>
      </c>
      <c r="H13" s="9">
        <f t="shared" si="2"/>
        <v>13</v>
      </c>
      <c r="I13" s="5">
        <f t="shared" si="3"/>
        <v>11</v>
      </c>
      <c r="J13" s="5">
        <f t="shared" si="4"/>
        <v>316530769.2</v>
      </c>
      <c r="T13" s="5"/>
    </row>
    <row r="14">
      <c r="A14" s="11">
        <v>11.0</v>
      </c>
      <c r="B14" s="5" t="str">
        <f>IFERROR(__xludf.DUMMYFUNCTION("""COMPUTED_VALUE"""),"Septicemia (A40-A41)")</f>
        <v>Septicemia (A40-A41)</v>
      </c>
      <c r="C14" s="8">
        <f>IFERROR(__xludf.DUMMYFUNCTION("""COMPUTED_VALUE"""),38156.0)</f>
        <v>38156</v>
      </c>
      <c r="D14" s="5">
        <f>IFERROR(__xludf.DUMMYFUNCTION("""COMPUTED_VALUE"""),1.5)</f>
        <v>1.5</v>
      </c>
      <c r="E14" s="9">
        <f>IFERROR(__xludf.DUMMYFUNCTION("""COMPUTED_VALUE"""),12.1)</f>
        <v>12.1</v>
      </c>
      <c r="F14" s="5" t="str">
        <f>IFERROR(__xludf.DUMMYFUNCTION("""COMPUTED_VALUE"""),"both sexes")</f>
        <v>both sexes</v>
      </c>
      <c r="G14" s="5" t="str">
        <f>IFERROR(__xludf.DUMMYFUNCTION("""COMPUTED_VALUE"""),"all ages")</f>
        <v>all ages</v>
      </c>
      <c r="H14" s="9">
        <f t="shared" si="2"/>
        <v>12.1</v>
      </c>
      <c r="I14" s="5">
        <f t="shared" si="3"/>
        <v>11</v>
      </c>
      <c r="J14" s="5">
        <f t="shared" si="4"/>
        <v>315338843</v>
      </c>
    </row>
    <row r="15">
      <c r="A15" s="11">
        <v>12.0</v>
      </c>
      <c r="B15" s="5" t="str">
        <f>IFERROR(__xludf.DUMMYFUNCTION("""COMPUTED_VALUE"""),"Chronic liver disease and cirrhosis (K70,K73-K74)")</f>
        <v>Chronic liver disease and cirrhosis (K70,K73-K74)</v>
      </c>
      <c r="C15" s="8">
        <f>IFERROR(__xludf.DUMMYFUNCTION("""COMPUTED_VALUE"""),36427.0)</f>
        <v>36427</v>
      </c>
      <c r="D15" s="5">
        <f>IFERROR(__xludf.DUMMYFUNCTION("""COMPUTED_VALUE"""),1.4)</f>
        <v>1.4</v>
      </c>
      <c r="E15" s="9">
        <f>IFERROR(__xludf.DUMMYFUNCTION("""COMPUTED_VALUE"""),11.5)</f>
        <v>11.5</v>
      </c>
      <c r="F15" s="5" t="str">
        <f>IFERROR(__xludf.DUMMYFUNCTION("""COMPUTED_VALUE"""),"both sexes")</f>
        <v>both sexes</v>
      </c>
      <c r="G15" s="5" t="str">
        <f>IFERROR(__xludf.DUMMYFUNCTION("""COMPUTED_VALUE"""),"all ages")</f>
        <v>all ages</v>
      </c>
      <c r="H15" s="9">
        <f t="shared" si="2"/>
        <v>11.5</v>
      </c>
      <c r="I15" s="5">
        <f t="shared" si="3"/>
        <v>11</v>
      </c>
      <c r="J15" s="5">
        <f t="shared" si="4"/>
        <v>316756521.7</v>
      </c>
    </row>
    <row r="16">
      <c r="A16" s="11">
        <v>13.0</v>
      </c>
      <c r="B16" s="5" t="str">
        <f>IFERROR(__xludf.DUMMYFUNCTION("""COMPUTED_VALUE"""),"Essential hypertension and hypertensive renal disease (I10,I12,I15)")</f>
        <v>Essential hypertension and hypertensive renal disease (I10,I12,I15)</v>
      </c>
      <c r="C16" s="8">
        <f>IFERROR(__xludf.DUMMYFUNCTION("""COMPUTED_VALUE"""),30770.0)</f>
        <v>30770</v>
      </c>
      <c r="D16" s="5">
        <f>IFERROR(__xludf.DUMMYFUNCTION("""COMPUTED_VALUE"""),1.2)</f>
        <v>1.2</v>
      </c>
      <c r="E16" s="9">
        <f>IFERROR(__xludf.DUMMYFUNCTION("""COMPUTED_VALUE"""),9.7)</f>
        <v>9.7</v>
      </c>
      <c r="F16" s="5" t="str">
        <f>IFERROR(__xludf.DUMMYFUNCTION("""COMPUTED_VALUE"""),"both sexes")</f>
        <v>both sexes</v>
      </c>
      <c r="G16" s="5" t="str">
        <f>IFERROR(__xludf.DUMMYFUNCTION("""COMPUTED_VALUE"""),"all ages")</f>
        <v>all ages</v>
      </c>
      <c r="H16" s="9">
        <f t="shared" si="2"/>
        <v>9.7</v>
      </c>
      <c r="I16" s="5">
        <f t="shared" si="3"/>
        <v>11</v>
      </c>
      <c r="J16" s="5">
        <f t="shared" si="4"/>
        <v>317216494.8</v>
      </c>
    </row>
    <row r="17">
      <c r="A17" s="11">
        <v>14.0</v>
      </c>
      <c r="B17" s="5" t="str">
        <f>IFERROR(__xludf.DUMMYFUNCTION("""COMPUTED_VALUE"""),"Parkinson's disease (G20-G21)")</f>
        <v>Parkinson's disease (G20-G21)</v>
      </c>
      <c r="C17" s="8">
        <f>IFERROR(__xludf.DUMMYFUNCTION("""COMPUTED_VALUE"""),25196.0)</f>
        <v>25196</v>
      </c>
      <c r="D17" s="5">
        <f>IFERROR(__xludf.DUMMYFUNCTION("""COMPUTED_VALUE"""),1.0)</f>
        <v>1</v>
      </c>
      <c r="E17" s="9">
        <f>IFERROR(__xludf.DUMMYFUNCTION("""COMPUTED_VALUE"""),8.0)</f>
        <v>8</v>
      </c>
      <c r="F17" s="5" t="str">
        <f>IFERROR(__xludf.DUMMYFUNCTION("""COMPUTED_VALUE"""),"both sexes")</f>
        <v>both sexes</v>
      </c>
      <c r="G17" s="5" t="str">
        <f>IFERROR(__xludf.DUMMYFUNCTION("""COMPUTED_VALUE"""),"all ages")</f>
        <v>all ages</v>
      </c>
      <c r="H17" s="9">
        <f t="shared" si="2"/>
        <v>8</v>
      </c>
      <c r="I17" s="5">
        <f t="shared" si="3"/>
        <v>11</v>
      </c>
      <c r="J17" s="5">
        <f t="shared" si="4"/>
        <v>314950000</v>
      </c>
    </row>
    <row r="18">
      <c r="A18" s="11">
        <v>15.0</v>
      </c>
      <c r="B18" s="5" t="str">
        <f>IFERROR(__xludf.DUMMYFUNCTION("""COMPUTED_VALUE"""),"Pneumonitis due to solids and liquids (J69)")</f>
        <v>Pneumonitis due to solids and liquids (J69)</v>
      </c>
      <c r="C18" s="8">
        <f>IFERROR(__xludf.DUMMYFUNCTION("""COMPUTED_VALUE"""),18579.0)</f>
        <v>18579</v>
      </c>
      <c r="D18" s="5">
        <f>IFERROR(__xludf.DUMMYFUNCTION("""COMPUTED_VALUE"""),0.7)</f>
        <v>0.7</v>
      </c>
      <c r="E18" s="9">
        <f>IFERROR(__xludf.DUMMYFUNCTION("""COMPUTED_VALUE"""),5.9)</f>
        <v>5.9</v>
      </c>
      <c r="F18" s="5" t="str">
        <f>IFERROR(__xludf.DUMMYFUNCTION("""COMPUTED_VALUE"""),"both sexes")</f>
        <v>both sexes</v>
      </c>
      <c r="G18" s="5" t="str">
        <f>IFERROR(__xludf.DUMMYFUNCTION("""COMPUTED_VALUE"""),"all ages")</f>
        <v>all ages</v>
      </c>
      <c r="H18" s="9">
        <f t="shared" si="2"/>
        <v>5.9</v>
      </c>
      <c r="I18" s="5">
        <f t="shared" si="3"/>
        <v>11</v>
      </c>
      <c r="J18" s="5">
        <f t="shared" si="4"/>
        <v>314898305.1</v>
      </c>
    </row>
    <row r="19">
      <c r="A19" s="7" t="s">
        <v>12</v>
      </c>
      <c r="B19" s="5" t="str">
        <f>IFERROR(__xludf.DUMMYFUNCTION("""COMPUTED_VALUE"""),"All other causes (Residual)")</f>
        <v>All other causes (Residual)</v>
      </c>
      <c r="C19" s="8">
        <f>IFERROR(__xludf.DUMMYFUNCTION("""COMPUTED_VALUE"""),537554.0)</f>
        <v>537554</v>
      </c>
      <c r="D19" s="5">
        <f>IFERROR(__xludf.DUMMYFUNCTION("""COMPUTED_VALUE"""),20.7)</f>
        <v>20.7</v>
      </c>
      <c r="E19" s="9">
        <f>IFERROR(__xludf.DUMMYFUNCTION("""COMPUTED_VALUE"""),170.0)</f>
        <v>170</v>
      </c>
      <c r="F19" s="5" t="str">
        <f>IFERROR(__xludf.DUMMYFUNCTION("""COMPUTED_VALUE"""),"both sexes")</f>
        <v>both sexes</v>
      </c>
      <c r="G19" s="5" t="str">
        <f>IFERROR(__xludf.DUMMYFUNCTION("""COMPUTED_VALUE"""),"all ages")</f>
        <v>all ages</v>
      </c>
      <c r="H19" s="9">
        <f t="shared" si="2"/>
        <v>170</v>
      </c>
      <c r="I19" s="5">
        <f t="shared" si="3"/>
        <v>11</v>
      </c>
      <c r="J19" s="5">
        <f t="shared" si="4"/>
        <v>316208235.3</v>
      </c>
    </row>
    <row r="20">
      <c r="A20" s="7" t="s">
        <v>12</v>
      </c>
      <c r="B20" s="5" t="str">
        <f>IFERROR(__xludf.DUMMYFUNCTION("""COMPUTED_VALUE"""),"All causes")</f>
        <v>All causes</v>
      </c>
      <c r="C20" s="8">
        <f>IFERROR(__xludf.DUMMYFUNCTION("""COMPUTED_VALUE"""),4068.0)</f>
        <v>4068</v>
      </c>
      <c r="D20" s="5">
        <f>IFERROR(__xludf.DUMMYFUNCTION("""COMPUTED_VALUE"""),100.0)</f>
        <v>100</v>
      </c>
      <c r="E20" s="9">
        <f>IFERROR(__xludf.DUMMYFUNCTION("""COMPUTED_VALUE"""),25.5)</f>
        <v>25.5</v>
      </c>
      <c r="F20" s="5" t="str">
        <f>IFERROR(__xludf.DUMMYFUNCTION("""COMPUTED_VALUE"""),"both sexes")</f>
        <v>both sexes</v>
      </c>
      <c r="G20" s="5" t="str">
        <f>IFERROR(__xludf.DUMMYFUNCTION("""COMPUTED_VALUE"""),"1-4 years")</f>
        <v>1-4 years</v>
      </c>
      <c r="H20" s="9">
        <f t="shared" si="2"/>
        <v>25.5</v>
      </c>
      <c r="I20" s="5">
        <f t="shared" si="3"/>
        <v>1</v>
      </c>
      <c r="J20" s="5">
        <f t="shared" si="4"/>
        <v>15952941.18</v>
      </c>
    </row>
    <row r="21">
      <c r="A21" s="11">
        <v>1.0</v>
      </c>
      <c r="B21" s="5" t="str">
        <f>IFERROR(__xludf.DUMMYFUNCTION("""COMPUTED_VALUE"""),"Accidents (unintentional injuries) (V01-X59,Y85-Y86)")</f>
        <v>Accidents (unintentional injuries) (V01-X59,Y85-Y86)</v>
      </c>
      <c r="C21" s="8">
        <f>IFERROR(__xludf.DUMMYFUNCTION("""COMPUTED_VALUE"""),1316.0)</f>
        <v>1316</v>
      </c>
      <c r="D21" s="5">
        <f>IFERROR(__xludf.DUMMYFUNCTION("""COMPUTED_VALUE"""),32.4)</f>
        <v>32.4</v>
      </c>
      <c r="E21" s="9">
        <f>IFERROR(__xludf.DUMMYFUNCTION("""COMPUTED_VALUE"""),8.3)</f>
        <v>8.3</v>
      </c>
      <c r="F21" s="5" t="str">
        <f>IFERROR(__xludf.DUMMYFUNCTION("""COMPUTED_VALUE"""),"both sexes")</f>
        <v>both sexes</v>
      </c>
      <c r="G21" s="5" t="str">
        <f>IFERROR(__xludf.DUMMYFUNCTION("""COMPUTED_VALUE"""),"1-4 years")</f>
        <v>1-4 years</v>
      </c>
      <c r="H21" s="9">
        <f t="shared" si="2"/>
        <v>8.3</v>
      </c>
      <c r="I21" s="5">
        <f t="shared" si="3"/>
        <v>1</v>
      </c>
      <c r="J21" s="5">
        <f t="shared" si="4"/>
        <v>15855421.69</v>
      </c>
    </row>
    <row r="22">
      <c r="A22" s="11">
        <v>2.0</v>
      </c>
      <c r="B22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22" s="8">
        <f>IFERROR(__xludf.DUMMYFUNCTION("""COMPUTED_VALUE"""),476.0)</f>
        <v>476</v>
      </c>
      <c r="D22" s="5">
        <f>IFERROR(__xludf.DUMMYFUNCTION("""COMPUTED_VALUE"""),11.7)</f>
        <v>11.7</v>
      </c>
      <c r="E22" s="9">
        <f>IFERROR(__xludf.DUMMYFUNCTION("""COMPUTED_VALUE"""),3.0)</f>
        <v>3</v>
      </c>
      <c r="F22" s="5" t="str">
        <f>IFERROR(__xludf.DUMMYFUNCTION("""COMPUTED_VALUE"""),"both sexes")</f>
        <v>both sexes</v>
      </c>
      <c r="G22" s="5" t="str">
        <f>IFERROR(__xludf.DUMMYFUNCTION("""COMPUTED_VALUE"""),"1-4 years")</f>
        <v>1-4 years</v>
      </c>
      <c r="H22" s="9">
        <f t="shared" si="2"/>
        <v>3</v>
      </c>
      <c r="I22" s="5">
        <f t="shared" si="3"/>
        <v>1</v>
      </c>
      <c r="J22" s="5">
        <f t="shared" si="4"/>
        <v>15866666.67</v>
      </c>
    </row>
    <row r="23">
      <c r="A23" s="11">
        <v>3.0</v>
      </c>
      <c r="B23" s="5" t="str">
        <f>IFERROR(__xludf.DUMMYFUNCTION("""COMPUTED_VALUE"""),"Assault (homicide) (*U01-*U02,X85-Y09,Y87.1)")</f>
        <v>Assault (homicide) (*U01-*U02,X85-Y09,Y87.1)</v>
      </c>
      <c r="C23" s="8">
        <f>IFERROR(__xludf.DUMMYFUNCTION("""COMPUTED_VALUE"""),337.0)</f>
        <v>337</v>
      </c>
      <c r="D23" s="5">
        <f>IFERROR(__xludf.DUMMYFUNCTION("""COMPUTED_VALUE"""),8.3)</f>
        <v>8.3</v>
      </c>
      <c r="E23" s="9">
        <f>IFERROR(__xludf.DUMMYFUNCTION("""COMPUTED_VALUE"""),2.1)</f>
        <v>2.1</v>
      </c>
      <c r="F23" s="5" t="str">
        <f>IFERROR(__xludf.DUMMYFUNCTION("""COMPUTED_VALUE"""),"both sexes")</f>
        <v>both sexes</v>
      </c>
      <c r="G23" s="5" t="str">
        <f>IFERROR(__xludf.DUMMYFUNCTION("""COMPUTED_VALUE"""),"1-4 years")</f>
        <v>1-4 years</v>
      </c>
      <c r="H23" s="9">
        <f t="shared" si="2"/>
        <v>2.1</v>
      </c>
      <c r="I23" s="5">
        <f t="shared" si="3"/>
        <v>1</v>
      </c>
      <c r="J23" s="5">
        <f t="shared" si="4"/>
        <v>16047619.05</v>
      </c>
    </row>
    <row r="24">
      <c r="A24" s="11">
        <v>4.0</v>
      </c>
      <c r="B24" s="5" t="str">
        <f>IFERROR(__xludf.DUMMYFUNCTION("""COMPUTED_VALUE"""),"Malignant neoplasms (C00-C97)")</f>
        <v>Malignant neoplasms (C00-C97)</v>
      </c>
      <c r="C24" s="8">
        <f>IFERROR(__xludf.DUMMYFUNCTION("""COMPUTED_VALUE"""),328.0)</f>
        <v>328</v>
      </c>
      <c r="D24" s="5">
        <f>IFERROR(__xludf.DUMMYFUNCTION("""COMPUTED_VALUE"""),8.1)</f>
        <v>8.1</v>
      </c>
      <c r="E24" s="9">
        <f>IFERROR(__xludf.DUMMYFUNCTION("""COMPUTED_VALUE"""),2.1)</f>
        <v>2.1</v>
      </c>
      <c r="F24" s="5" t="str">
        <f>IFERROR(__xludf.DUMMYFUNCTION("""COMPUTED_VALUE"""),"both sexes")</f>
        <v>both sexes</v>
      </c>
      <c r="G24" s="5" t="str">
        <f>IFERROR(__xludf.DUMMYFUNCTION("""COMPUTED_VALUE"""),"1-4 years")</f>
        <v>1-4 years</v>
      </c>
      <c r="H24" s="9">
        <f t="shared" si="2"/>
        <v>2.1</v>
      </c>
      <c r="I24" s="5">
        <f t="shared" si="3"/>
        <v>1</v>
      </c>
      <c r="J24" s="5">
        <f t="shared" si="4"/>
        <v>15619047.62</v>
      </c>
    </row>
    <row r="25">
      <c r="A25" s="11">
        <v>5.0</v>
      </c>
      <c r="B25" s="5" t="str">
        <f>IFERROR(__xludf.DUMMYFUNCTION("""COMPUTED_VALUE"""),"Diseases of heart (I00-I09,I11,I13,I20-I51)")</f>
        <v>Diseases of heart (I00-I09,I11,I13,I20-I51)</v>
      </c>
      <c r="C25" s="8">
        <f>IFERROR(__xludf.DUMMYFUNCTION("""COMPUTED_VALUE"""),169.0)</f>
        <v>169</v>
      </c>
      <c r="D25" s="5">
        <f>IFERROR(__xludf.DUMMYFUNCTION("""COMPUTED_VALUE"""),4.2)</f>
        <v>4.2</v>
      </c>
      <c r="E25" s="9">
        <f>IFERROR(__xludf.DUMMYFUNCTION("""COMPUTED_VALUE"""),1.1)</f>
        <v>1.1</v>
      </c>
      <c r="F25" s="5" t="str">
        <f>IFERROR(__xludf.DUMMYFUNCTION("""COMPUTED_VALUE"""),"both sexes")</f>
        <v>both sexes</v>
      </c>
      <c r="G25" s="5" t="str">
        <f>IFERROR(__xludf.DUMMYFUNCTION("""COMPUTED_VALUE"""),"1-4 years")</f>
        <v>1-4 years</v>
      </c>
      <c r="H25" s="9">
        <f t="shared" si="2"/>
        <v>1.1</v>
      </c>
      <c r="I25" s="5">
        <f t="shared" si="3"/>
        <v>1</v>
      </c>
      <c r="J25" s="5">
        <f t="shared" si="4"/>
        <v>15363636.36</v>
      </c>
    </row>
    <row r="26">
      <c r="A26" s="11">
        <v>6.0</v>
      </c>
      <c r="B26" s="5" t="str">
        <f>IFERROR(__xludf.DUMMYFUNCTION("""COMPUTED_VALUE"""),"Influenza and pneumonia (J09-J18)")</f>
        <v>Influenza and pneumonia (J09-J18)</v>
      </c>
      <c r="C26" s="8">
        <f>IFERROR(__xludf.DUMMYFUNCTION("""COMPUTED_VALUE"""),102.0)</f>
        <v>102</v>
      </c>
      <c r="D26" s="5">
        <f>IFERROR(__xludf.DUMMYFUNCTION("""COMPUTED_VALUE"""),2.5)</f>
        <v>2.5</v>
      </c>
      <c r="E26" s="9">
        <f>IFERROR(__xludf.DUMMYFUNCTION("""COMPUTED_VALUE"""),0.6)</f>
        <v>0.6</v>
      </c>
      <c r="F26" s="5" t="str">
        <f>IFERROR(__xludf.DUMMYFUNCTION("""COMPUTED_VALUE"""),"both sexes")</f>
        <v>both sexes</v>
      </c>
      <c r="G26" s="5" t="str">
        <f>IFERROR(__xludf.DUMMYFUNCTION("""COMPUTED_VALUE"""),"1-4 years")</f>
        <v>1-4 years</v>
      </c>
      <c r="H26" s="9">
        <f t="shared" si="2"/>
        <v>0.6</v>
      </c>
      <c r="I26" s="5">
        <f t="shared" si="3"/>
        <v>1</v>
      </c>
      <c r="J26" s="5">
        <f t="shared" si="4"/>
        <v>17000000</v>
      </c>
    </row>
    <row r="27">
      <c r="A27" s="11">
        <v>7.0</v>
      </c>
      <c r="B27" s="5" t="str">
        <f>IFERROR(__xludf.DUMMYFUNCTION("""COMPUTED_VALUE"""),"Chronic lower respiratory diseases (J40-J47)")</f>
        <v>Chronic lower respiratory diseases (J40-J47)</v>
      </c>
      <c r="C27" s="8">
        <f>IFERROR(__xludf.DUMMYFUNCTION("""COMPUTED_VALUE"""),64.0)</f>
        <v>64</v>
      </c>
      <c r="D27" s="5">
        <f>IFERROR(__xludf.DUMMYFUNCTION("""COMPUTED_VALUE"""),1.6)</f>
        <v>1.6</v>
      </c>
      <c r="E27" s="9">
        <f>IFERROR(__xludf.DUMMYFUNCTION("""COMPUTED_VALUE"""),0.4)</f>
        <v>0.4</v>
      </c>
      <c r="F27" s="5" t="str">
        <f>IFERROR(__xludf.DUMMYFUNCTION("""COMPUTED_VALUE"""),"both sexes")</f>
        <v>both sexes</v>
      </c>
      <c r="G27" s="5" t="str">
        <f>IFERROR(__xludf.DUMMYFUNCTION("""COMPUTED_VALUE"""),"1-4 years")</f>
        <v>1-4 years</v>
      </c>
      <c r="H27" s="9">
        <f t="shared" si="2"/>
        <v>0.4</v>
      </c>
      <c r="I27" s="5">
        <f t="shared" si="3"/>
        <v>1</v>
      </c>
      <c r="J27" s="5">
        <f t="shared" si="4"/>
        <v>16000000</v>
      </c>
    </row>
    <row r="28">
      <c r="A28" s="11">
        <v>8.0</v>
      </c>
      <c r="B28" s="5" t="str">
        <f>IFERROR(__xludf.DUMMYFUNCTION("""COMPUTED_VALUE"""),"Septicemia (A40-A41)")</f>
        <v>Septicemia (A40-A41)</v>
      </c>
      <c r="C28" s="8">
        <f>IFERROR(__xludf.DUMMYFUNCTION("""COMPUTED_VALUE"""),53.0)</f>
        <v>53</v>
      </c>
      <c r="D28" s="5">
        <f>IFERROR(__xludf.DUMMYFUNCTION("""COMPUTED_VALUE"""),1.3)</f>
        <v>1.3</v>
      </c>
      <c r="E28" s="9">
        <f>IFERROR(__xludf.DUMMYFUNCTION("""COMPUTED_VALUE"""),0.3)</f>
        <v>0.3</v>
      </c>
      <c r="F28" s="5" t="str">
        <f>IFERROR(__xludf.DUMMYFUNCTION("""COMPUTED_VALUE"""),"both sexes")</f>
        <v>both sexes</v>
      </c>
      <c r="G28" s="5" t="str">
        <f>IFERROR(__xludf.DUMMYFUNCTION("""COMPUTED_VALUE"""),"1-4 years")</f>
        <v>1-4 years</v>
      </c>
      <c r="H28" s="9">
        <f t="shared" si="2"/>
        <v>0.3</v>
      </c>
      <c r="I28" s="5">
        <f t="shared" si="3"/>
        <v>1</v>
      </c>
      <c r="J28" s="5">
        <f t="shared" si="4"/>
        <v>17666666.67</v>
      </c>
    </row>
    <row r="29">
      <c r="A29" s="11">
        <v>9.0</v>
      </c>
      <c r="B29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29" s="8">
        <f>IFERROR(__xludf.DUMMYFUNCTION("""COMPUTED_VALUE"""),47.0)</f>
        <v>47</v>
      </c>
      <c r="D29" s="5">
        <f>IFERROR(__xludf.DUMMYFUNCTION("""COMPUTED_VALUE"""),1.2)</f>
        <v>1.2</v>
      </c>
      <c r="E29" s="9">
        <f>IFERROR(__xludf.DUMMYFUNCTION("""COMPUTED_VALUE"""),0.3)</f>
        <v>0.3</v>
      </c>
      <c r="F29" s="5" t="str">
        <f>IFERROR(__xludf.DUMMYFUNCTION("""COMPUTED_VALUE"""),"both sexes")</f>
        <v>both sexes</v>
      </c>
      <c r="G29" s="5" t="str">
        <f>IFERROR(__xludf.DUMMYFUNCTION("""COMPUTED_VALUE"""),"1-4 years")</f>
        <v>1-4 years</v>
      </c>
      <c r="H29" s="9">
        <f t="shared" si="2"/>
        <v>0.3</v>
      </c>
      <c r="I29" s="5">
        <f t="shared" si="3"/>
        <v>1</v>
      </c>
      <c r="J29" s="5">
        <f t="shared" si="4"/>
        <v>15666666.67</v>
      </c>
    </row>
    <row r="30">
      <c r="A30" s="11">
        <v>10.0</v>
      </c>
      <c r="B30" s="5" t="str">
        <f>IFERROR(__xludf.DUMMYFUNCTION("""COMPUTED_VALUE"""),"Certain conditions originating in the perinatal period (P00-P96)")</f>
        <v>Certain conditions originating in the perinatal period (P00-P96)</v>
      </c>
      <c r="C30" s="8">
        <f>IFERROR(__xludf.DUMMYFUNCTION("""COMPUTED_VALUE"""),45.0)</f>
        <v>45</v>
      </c>
      <c r="D30" s="5">
        <f>IFERROR(__xludf.DUMMYFUNCTION("""COMPUTED_VALUE"""),1.1)</f>
        <v>1.1</v>
      </c>
      <c r="E30" s="9">
        <f>IFERROR(__xludf.DUMMYFUNCTION("""COMPUTED_VALUE"""),0.3)</f>
        <v>0.3</v>
      </c>
      <c r="F30" s="5" t="str">
        <f>IFERROR(__xludf.DUMMYFUNCTION("""COMPUTED_VALUE"""),"both sexes")</f>
        <v>both sexes</v>
      </c>
      <c r="G30" s="5" t="str">
        <f>IFERROR(__xludf.DUMMYFUNCTION("""COMPUTED_VALUE"""),"1-4 years")</f>
        <v>1-4 years</v>
      </c>
      <c r="H30" s="9">
        <f t="shared" si="2"/>
        <v>0.3</v>
      </c>
      <c r="I30" s="5">
        <f t="shared" si="3"/>
        <v>1</v>
      </c>
      <c r="J30" s="5">
        <f t="shared" si="4"/>
        <v>15000000</v>
      </c>
    </row>
    <row r="31">
      <c r="A31" s="11">
        <v>11.0</v>
      </c>
      <c r="B31" s="5" t="str">
        <f>IFERROR(__xludf.DUMMYFUNCTION("""COMPUTED_VALUE"""),"Cerebrovascular diseases (I60-I69)")</f>
        <v>Cerebrovascular diseases (I60-I69)</v>
      </c>
      <c r="C31" s="8">
        <f>IFERROR(__xludf.DUMMYFUNCTION("""COMPUTED_VALUE"""),38.0)</f>
        <v>38</v>
      </c>
      <c r="D31" s="5">
        <f>IFERROR(__xludf.DUMMYFUNCTION("""COMPUTED_VALUE"""),0.9)</f>
        <v>0.9</v>
      </c>
      <c r="E31" s="9">
        <f>IFERROR(__xludf.DUMMYFUNCTION("""COMPUTED_VALUE"""),0.2)</f>
        <v>0.2</v>
      </c>
      <c r="F31" s="5" t="str">
        <f>IFERROR(__xludf.DUMMYFUNCTION("""COMPUTED_VALUE"""),"both sexes")</f>
        <v>both sexes</v>
      </c>
      <c r="G31" s="5" t="str">
        <f>IFERROR(__xludf.DUMMYFUNCTION("""COMPUTED_VALUE"""),"1-4 years")</f>
        <v>1-4 years</v>
      </c>
      <c r="H31" s="9">
        <f t="shared" si="2"/>
        <v>0.2</v>
      </c>
      <c r="I31" s="5">
        <f t="shared" si="3"/>
        <v>1</v>
      </c>
      <c r="J31" s="5">
        <f t="shared" si="4"/>
        <v>19000000</v>
      </c>
    </row>
    <row r="32">
      <c r="A32" s="11">
        <v>12.0</v>
      </c>
      <c r="B32" s="5" t="str">
        <f>IFERROR(__xludf.DUMMYFUNCTION("""COMPUTED_VALUE"""),"Meningitis (G00,G03)")</f>
        <v>Meningitis (G00,G03)</v>
      </c>
      <c r="C32" s="8">
        <f>IFERROR(__xludf.DUMMYFUNCTION("""COMPUTED_VALUE"""),23.0)</f>
        <v>23</v>
      </c>
      <c r="D32" s="5">
        <f>IFERROR(__xludf.DUMMYFUNCTION("""COMPUTED_VALUE"""),0.6)</f>
        <v>0.6</v>
      </c>
      <c r="E32" s="9">
        <f>IFERROR(__xludf.DUMMYFUNCTION("""COMPUTED_VALUE"""),0.1)</f>
        <v>0.1</v>
      </c>
      <c r="F32" s="5" t="str">
        <f>IFERROR(__xludf.DUMMYFUNCTION("""COMPUTED_VALUE"""),"both sexes")</f>
        <v>both sexes</v>
      </c>
      <c r="G32" s="5" t="str">
        <f>IFERROR(__xludf.DUMMYFUNCTION("""COMPUTED_VALUE"""),"1-4 years")</f>
        <v>1-4 years</v>
      </c>
      <c r="H32" s="9">
        <f t="shared" si="2"/>
        <v>0.1</v>
      </c>
      <c r="I32" s="5">
        <f t="shared" si="3"/>
        <v>1</v>
      </c>
      <c r="J32" s="5">
        <f t="shared" si="4"/>
        <v>23000000</v>
      </c>
    </row>
    <row r="33">
      <c r="A33" s="11">
        <v>13.0</v>
      </c>
      <c r="B33" s="5" t="str">
        <f>IFERROR(__xludf.DUMMYFUNCTION("""COMPUTED_VALUE"""),"Anemias (D50-D64)")</f>
        <v>Anemias (D50-D64)</v>
      </c>
      <c r="C33" s="8">
        <f>IFERROR(__xludf.DUMMYFUNCTION("""COMPUTED_VALUE"""),20.0)</f>
        <v>20</v>
      </c>
      <c r="D33" s="5">
        <f>IFERROR(__xludf.DUMMYFUNCTION("""COMPUTED_VALUE"""),0.5)</f>
        <v>0.5</v>
      </c>
      <c r="E33" s="9">
        <f>IFERROR(__xludf.DUMMYFUNCTION("""COMPUTED_VALUE"""),0.1)</f>
        <v>0.1</v>
      </c>
      <c r="F33" s="5" t="str">
        <f>IFERROR(__xludf.DUMMYFUNCTION("""COMPUTED_VALUE"""),"both sexes")</f>
        <v>both sexes</v>
      </c>
      <c r="G33" s="5" t="str">
        <f>IFERROR(__xludf.DUMMYFUNCTION("""COMPUTED_VALUE"""),"1-4 years")</f>
        <v>1-4 years</v>
      </c>
      <c r="H33" s="9">
        <f t="shared" si="2"/>
        <v>0.1</v>
      </c>
      <c r="I33" s="5">
        <f t="shared" si="3"/>
        <v>1</v>
      </c>
      <c r="J33" s="5">
        <f t="shared" si="4"/>
        <v>20000000</v>
      </c>
    </row>
    <row r="34">
      <c r="A34" s="11">
        <v>14.0</v>
      </c>
      <c r="B34" s="5" t="str">
        <f>IFERROR(__xludf.DUMMYFUNCTION("""COMPUTED_VALUE"""),"Complications of medical and surgical care (Y40-Y84,Y88)")</f>
        <v>Complications of medical and surgical care (Y40-Y84,Y88)</v>
      </c>
      <c r="C34" s="8">
        <f>IFERROR(__xludf.DUMMYFUNCTION("""COMPUTED_VALUE"""),15.0)</f>
        <v>15</v>
      </c>
      <c r="D34" s="5">
        <f>IFERROR(__xludf.DUMMYFUNCTION("""COMPUTED_VALUE"""),0.4)</f>
        <v>0.4</v>
      </c>
      <c r="E34" s="9"/>
      <c r="F34" s="5" t="str">
        <f>IFERROR(__xludf.DUMMYFUNCTION("""COMPUTED_VALUE"""),"both sexes")</f>
        <v>both sexes</v>
      </c>
      <c r="G34" s="5" t="str">
        <f>IFERROR(__xludf.DUMMYFUNCTION("""COMPUTED_VALUE"""),"1-4 years")</f>
        <v>1-4 years</v>
      </c>
      <c r="H34" s="5">
        <f t="shared" si="2"/>
        <v>0</v>
      </c>
      <c r="I34" s="5">
        <f t="shared" si="3"/>
        <v>1</v>
      </c>
      <c r="J34" s="5" t="str">
        <f t="shared" si="4"/>
        <v>#DIV/0!</v>
      </c>
    </row>
    <row r="35">
      <c r="A35" s="11">
        <v>15.0</v>
      </c>
      <c r="B35" s="5" t="str">
        <f>IFERROR(__xludf.DUMMYFUNCTION("""COMPUTED_VALUE"""),"Acute bronchitis and bronchiolitis (J20-J21)")</f>
        <v>Acute bronchitis and bronchiolitis (J20-J21)</v>
      </c>
      <c r="C35" s="8">
        <f>IFERROR(__xludf.DUMMYFUNCTION("""COMPUTED_VALUE"""),14.0)</f>
        <v>14</v>
      </c>
      <c r="D35" s="5">
        <f>IFERROR(__xludf.DUMMYFUNCTION("""COMPUTED_VALUE"""),0.3)</f>
        <v>0.3</v>
      </c>
      <c r="E35" s="9"/>
      <c r="F35" s="5" t="str">
        <f>IFERROR(__xludf.DUMMYFUNCTION("""COMPUTED_VALUE"""),"both sexes")</f>
        <v>both sexes</v>
      </c>
      <c r="G35" s="5" t="str">
        <f>IFERROR(__xludf.DUMMYFUNCTION("""COMPUTED_VALUE"""),"1-4 years")</f>
        <v>1-4 years</v>
      </c>
      <c r="H35" s="5">
        <f t="shared" si="2"/>
        <v>0</v>
      </c>
      <c r="I35" s="5">
        <f t="shared" si="3"/>
        <v>1</v>
      </c>
      <c r="J35" s="5" t="str">
        <f t="shared" si="4"/>
        <v>#DIV/0!</v>
      </c>
    </row>
    <row r="36">
      <c r="A36" s="7" t="s">
        <v>12</v>
      </c>
      <c r="B36" s="5" t="str">
        <f>IFERROR(__xludf.DUMMYFUNCTION("""COMPUTED_VALUE"""),"All other causes (Residual)")</f>
        <v>All other causes (Residual)</v>
      </c>
      <c r="C36" s="8">
        <f>IFERROR(__xludf.DUMMYFUNCTION("""COMPUTED_VALUE"""),1021.0)</f>
        <v>1021</v>
      </c>
      <c r="D36" s="5">
        <f>IFERROR(__xludf.DUMMYFUNCTION("""COMPUTED_VALUE"""),25.1)</f>
        <v>25.1</v>
      </c>
      <c r="E36" s="9">
        <f>IFERROR(__xludf.DUMMYFUNCTION("""COMPUTED_VALUE"""),6.4)</f>
        <v>6.4</v>
      </c>
      <c r="F36" s="5" t="str">
        <f>IFERROR(__xludf.DUMMYFUNCTION("""COMPUTED_VALUE"""),"both sexes")</f>
        <v>both sexes</v>
      </c>
      <c r="G36" s="5" t="str">
        <f>IFERROR(__xludf.DUMMYFUNCTION("""COMPUTED_VALUE"""),"1-4 years")</f>
        <v>1-4 years</v>
      </c>
      <c r="H36" s="9">
        <f t="shared" si="2"/>
        <v>6.4</v>
      </c>
      <c r="I36" s="5">
        <f t="shared" si="3"/>
        <v>1</v>
      </c>
      <c r="J36" s="5">
        <f t="shared" si="4"/>
        <v>15953125</v>
      </c>
    </row>
    <row r="37">
      <c r="A37" s="7" t="s">
        <v>12</v>
      </c>
      <c r="B37" s="5" t="str">
        <f>IFERROR(__xludf.DUMMYFUNCTION("""COMPUTED_VALUE"""),"All causes")</f>
        <v>All causes</v>
      </c>
      <c r="C37" s="8">
        <f>IFERROR(__xludf.DUMMYFUNCTION("""COMPUTED_VALUE"""),5340.0)</f>
        <v>5340</v>
      </c>
      <c r="D37" s="5">
        <f>IFERROR(__xludf.DUMMYFUNCTION("""COMPUTED_VALUE"""),100.0)</f>
        <v>100</v>
      </c>
      <c r="E37" s="9">
        <f>IFERROR(__xludf.DUMMYFUNCTION("""COMPUTED_VALUE"""),13.0)</f>
        <v>13</v>
      </c>
      <c r="F37" s="5" t="str">
        <f>IFERROR(__xludf.DUMMYFUNCTION("""COMPUTED_VALUE"""),"both sexes")</f>
        <v>both sexes</v>
      </c>
      <c r="G37" s="5" t="str">
        <f>IFERROR(__xludf.DUMMYFUNCTION("""COMPUTED_VALUE"""),"5-14 years")</f>
        <v>5-14 years</v>
      </c>
      <c r="H37" s="9">
        <f t="shared" si="2"/>
        <v>13</v>
      </c>
      <c r="I37" s="5">
        <f t="shared" si="3"/>
        <v>2</v>
      </c>
      <c r="J37" s="5">
        <f t="shared" si="4"/>
        <v>41076923.08</v>
      </c>
    </row>
    <row r="38">
      <c r="A38" s="11">
        <v>1.0</v>
      </c>
      <c r="B38" s="5" t="str">
        <f>IFERROR(__xludf.DUMMYFUNCTION("""COMPUTED_VALUE"""),"Accidents (unintentional injuries) (V01-X59,Y85-Y86)")</f>
        <v>Accidents (unintentional injuries) (V01-X59,Y85-Y86)</v>
      </c>
      <c r="C38" s="8">
        <f>IFERROR(__xludf.DUMMYFUNCTION("""COMPUTED_VALUE"""),1521.0)</f>
        <v>1521</v>
      </c>
      <c r="D38" s="5">
        <f>IFERROR(__xludf.DUMMYFUNCTION("""COMPUTED_VALUE"""),28.5)</f>
        <v>28.5</v>
      </c>
      <c r="E38" s="9">
        <f>IFERROR(__xludf.DUMMYFUNCTION("""COMPUTED_VALUE"""),3.7)</f>
        <v>3.7</v>
      </c>
      <c r="F38" s="5" t="str">
        <f>IFERROR(__xludf.DUMMYFUNCTION("""COMPUTED_VALUE"""),"both sexes")</f>
        <v>both sexes</v>
      </c>
      <c r="G38" s="5" t="str">
        <f>IFERROR(__xludf.DUMMYFUNCTION("""COMPUTED_VALUE"""),"5-14 years")</f>
        <v>5-14 years</v>
      </c>
      <c r="H38" s="9">
        <f t="shared" si="2"/>
        <v>3.7</v>
      </c>
      <c r="I38" s="5">
        <f t="shared" si="3"/>
        <v>2</v>
      </c>
      <c r="J38" s="5">
        <f t="shared" si="4"/>
        <v>41108108.11</v>
      </c>
    </row>
    <row r="39">
      <c r="A39" s="11">
        <v>2.0</v>
      </c>
      <c r="B39" s="5" t="str">
        <f>IFERROR(__xludf.DUMMYFUNCTION("""COMPUTED_VALUE"""),"Malignant neoplasms (C00-C97)")</f>
        <v>Malignant neoplasms (C00-C97)</v>
      </c>
      <c r="C39" s="8">
        <f>IFERROR(__xludf.DUMMYFUNCTION("""COMPUTED_VALUE"""),895.0)</f>
        <v>895</v>
      </c>
      <c r="D39" s="5">
        <f>IFERROR(__xludf.DUMMYFUNCTION("""COMPUTED_VALUE"""),16.8)</f>
        <v>16.8</v>
      </c>
      <c r="E39" s="9">
        <f>IFERROR(__xludf.DUMMYFUNCTION("""COMPUTED_VALUE"""),2.2)</f>
        <v>2.2</v>
      </c>
      <c r="F39" s="5" t="str">
        <f>IFERROR(__xludf.DUMMYFUNCTION("""COMPUTED_VALUE"""),"both sexes")</f>
        <v>both sexes</v>
      </c>
      <c r="G39" s="5" t="str">
        <f>IFERROR(__xludf.DUMMYFUNCTION("""COMPUTED_VALUE"""),"5-14 years")</f>
        <v>5-14 years</v>
      </c>
      <c r="H39" s="9">
        <f t="shared" si="2"/>
        <v>2.2</v>
      </c>
      <c r="I39" s="5">
        <f t="shared" si="3"/>
        <v>2</v>
      </c>
      <c r="J39" s="5">
        <f t="shared" si="4"/>
        <v>40681818.18</v>
      </c>
    </row>
    <row r="40">
      <c r="A40" s="11">
        <v>3.0</v>
      </c>
      <c r="B40" s="5" t="str">
        <f>IFERROR(__xludf.DUMMYFUNCTION("""COMPUTED_VALUE"""),"Intentional self-harm (suicide) (*U03,X60-X84,Y87.0)")</f>
        <v>Intentional self-harm (suicide) (*U03,X60-X84,Y87.0)</v>
      </c>
      <c r="C40" s="8">
        <f>IFERROR(__xludf.DUMMYFUNCTION("""COMPUTED_VALUE"""),395.0)</f>
        <v>395</v>
      </c>
      <c r="D40" s="5">
        <f>IFERROR(__xludf.DUMMYFUNCTION("""COMPUTED_VALUE"""),7.4)</f>
        <v>7.4</v>
      </c>
      <c r="E40" s="9">
        <f>IFERROR(__xludf.DUMMYFUNCTION("""COMPUTED_VALUE"""),1.0)</f>
        <v>1</v>
      </c>
      <c r="F40" s="5" t="str">
        <f>IFERROR(__xludf.DUMMYFUNCTION("""COMPUTED_VALUE"""),"both sexes")</f>
        <v>both sexes</v>
      </c>
      <c r="G40" s="5" t="str">
        <f>IFERROR(__xludf.DUMMYFUNCTION("""COMPUTED_VALUE"""),"5-14 years")</f>
        <v>5-14 years</v>
      </c>
      <c r="H40" s="9">
        <f t="shared" si="2"/>
        <v>1</v>
      </c>
      <c r="I40" s="5">
        <f t="shared" si="3"/>
        <v>2</v>
      </c>
      <c r="J40" s="5">
        <f t="shared" si="4"/>
        <v>39500000</v>
      </c>
    </row>
    <row r="41">
      <c r="A41" s="11">
        <v>4.0</v>
      </c>
      <c r="B41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41" s="8">
        <f>IFERROR(__xludf.DUMMYFUNCTION("""COMPUTED_VALUE"""),340.0)</f>
        <v>340</v>
      </c>
      <c r="D41" s="5">
        <f>IFERROR(__xludf.DUMMYFUNCTION("""COMPUTED_VALUE"""),6.4)</f>
        <v>6.4</v>
      </c>
      <c r="E41" s="9">
        <f>IFERROR(__xludf.DUMMYFUNCTION("""COMPUTED_VALUE"""),0.8)</f>
        <v>0.8</v>
      </c>
      <c r="F41" s="5" t="str">
        <f>IFERROR(__xludf.DUMMYFUNCTION("""COMPUTED_VALUE"""),"both sexes")</f>
        <v>both sexes</v>
      </c>
      <c r="G41" s="5" t="str">
        <f>IFERROR(__xludf.DUMMYFUNCTION("""COMPUTED_VALUE"""),"5-14 years")</f>
        <v>5-14 years</v>
      </c>
      <c r="H41" s="9">
        <f t="shared" si="2"/>
        <v>0.8</v>
      </c>
      <c r="I41" s="5">
        <f t="shared" si="3"/>
        <v>2</v>
      </c>
      <c r="J41" s="5">
        <f t="shared" si="4"/>
        <v>42500000</v>
      </c>
    </row>
    <row r="42">
      <c r="A42" s="11">
        <v>5.0</v>
      </c>
      <c r="B42" s="5" t="str">
        <f>IFERROR(__xludf.DUMMYFUNCTION("""COMPUTED_VALUE"""),"Assault (homicide) (*U01-*U02,X85-Y09,Y87.1)")</f>
        <v>Assault (homicide) (*U01-*U02,X85-Y09,Y87.1)</v>
      </c>
      <c r="C42" s="8">
        <f>IFERROR(__xludf.DUMMYFUNCTION("""COMPUTED_VALUE"""),277.0)</f>
        <v>277</v>
      </c>
      <c r="D42" s="5">
        <f>IFERROR(__xludf.DUMMYFUNCTION("""COMPUTED_VALUE"""),5.2)</f>
        <v>5.2</v>
      </c>
      <c r="E42" s="9">
        <f>IFERROR(__xludf.DUMMYFUNCTION("""COMPUTED_VALUE"""),0.7)</f>
        <v>0.7</v>
      </c>
      <c r="F42" s="5" t="str">
        <f>IFERROR(__xludf.DUMMYFUNCTION("""COMPUTED_VALUE"""),"both sexes")</f>
        <v>both sexes</v>
      </c>
      <c r="G42" s="5" t="str">
        <f>IFERROR(__xludf.DUMMYFUNCTION("""COMPUTED_VALUE"""),"5-14 years")</f>
        <v>5-14 years</v>
      </c>
      <c r="H42" s="9">
        <f t="shared" si="2"/>
        <v>0.7</v>
      </c>
      <c r="I42" s="5">
        <f t="shared" si="3"/>
        <v>2</v>
      </c>
      <c r="J42" s="5">
        <f t="shared" si="4"/>
        <v>39571428.57</v>
      </c>
    </row>
    <row r="43">
      <c r="A43" s="11">
        <v>6.0</v>
      </c>
      <c r="B43" s="5" t="str">
        <f>IFERROR(__xludf.DUMMYFUNCTION("""COMPUTED_VALUE"""),"Diseases of heart (I00-I09,I11,I13,I20-I51)")</f>
        <v>Diseases of heart (I00-I09,I11,I13,I20-I51)</v>
      </c>
      <c r="C43" s="8">
        <f>IFERROR(__xludf.DUMMYFUNCTION("""COMPUTED_VALUE"""),173.0)</f>
        <v>173</v>
      </c>
      <c r="D43" s="5">
        <f>IFERROR(__xludf.DUMMYFUNCTION("""COMPUTED_VALUE"""),3.2)</f>
        <v>3.2</v>
      </c>
      <c r="E43" s="9">
        <f>IFERROR(__xludf.DUMMYFUNCTION("""COMPUTED_VALUE"""),0.4)</f>
        <v>0.4</v>
      </c>
      <c r="F43" s="5" t="str">
        <f>IFERROR(__xludf.DUMMYFUNCTION("""COMPUTED_VALUE"""),"both sexes")</f>
        <v>both sexes</v>
      </c>
      <c r="G43" s="5" t="str">
        <f>IFERROR(__xludf.DUMMYFUNCTION("""COMPUTED_VALUE"""),"5-14 years")</f>
        <v>5-14 years</v>
      </c>
      <c r="H43" s="9">
        <f t="shared" si="2"/>
        <v>0.4</v>
      </c>
      <c r="I43" s="5">
        <f t="shared" si="3"/>
        <v>2</v>
      </c>
      <c r="J43" s="5">
        <f t="shared" si="4"/>
        <v>43250000</v>
      </c>
    </row>
    <row r="44">
      <c r="A44" s="11">
        <v>7.0</v>
      </c>
      <c r="B44" s="5" t="str">
        <f>IFERROR(__xludf.DUMMYFUNCTION("""COMPUTED_VALUE"""),"Chronic lower respiratory diseases (J40-J47)")</f>
        <v>Chronic lower respiratory diseases (J40-J47)</v>
      </c>
      <c r="C44" s="8">
        <f>IFERROR(__xludf.DUMMYFUNCTION("""COMPUTED_VALUE"""),155.0)</f>
        <v>155</v>
      </c>
      <c r="D44" s="5">
        <f>IFERROR(__xludf.DUMMYFUNCTION("""COMPUTED_VALUE"""),2.9)</f>
        <v>2.9</v>
      </c>
      <c r="E44" s="9">
        <f>IFERROR(__xludf.DUMMYFUNCTION("""COMPUTED_VALUE"""),0.4)</f>
        <v>0.4</v>
      </c>
      <c r="F44" s="5" t="str">
        <f>IFERROR(__xludf.DUMMYFUNCTION("""COMPUTED_VALUE"""),"both sexes")</f>
        <v>both sexes</v>
      </c>
      <c r="G44" s="5" t="str">
        <f>IFERROR(__xludf.DUMMYFUNCTION("""COMPUTED_VALUE"""),"5-14 years")</f>
        <v>5-14 years</v>
      </c>
      <c r="H44" s="9">
        <f t="shared" si="2"/>
        <v>0.4</v>
      </c>
      <c r="I44" s="5">
        <f t="shared" si="3"/>
        <v>2</v>
      </c>
      <c r="J44" s="5">
        <f t="shared" si="4"/>
        <v>38750000</v>
      </c>
    </row>
    <row r="45">
      <c r="A45" s="11">
        <v>8.0</v>
      </c>
      <c r="B45" s="5" t="str">
        <f>IFERROR(__xludf.DUMMYFUNCTION("""COMPUTED_VALUE"""),"Influenza and pneumonia (J09-J18)")</f>
        <v>Influenza and pneumonia (J09-J18)</v>
      </c>
      <c r="C45" s="8">
        <f>IFERROR(__xludf.DUMMYFUNCTION("""COMPUTED_VALUE"""),128.0)</f>
        <v>128</v>
      </c>
      <c r="D45" s="5">
        <f>IFERROR(__xludf.DUMMYFUNCTION("""COMPUTED_VALUE"""),2.4)</f>
        <v>2.4</v>
      </c>
      <c r="E45" s="9">
        <f>IFERROR(__xludf.DUMMYFUNCTION("""COMPUTED_VALUE"""),0.3)</f>
        <v>0.3</v>
      </c>
      <c r="F45" s="5" t="str">
        <f>IFERROR(__xludf.DUMMYFUNCTION("""COMPUTED_VALUE"""),"both sexes")</f>
        <v>both sexes</v>
      </c>
      <c r="G45" s="5" t="str">
        <f>IFERROR(__xludf.DUMMYFUNCTION("""COMPUTED_VALUE"""),"5-14 years")</f>
        <v>5-14 years</v>
      </c>
      <c r="H45" s="9">
        <f t="shared" si="2"/>
        <v>0.3</v>
      </c>
      <c r="I45" s="5">
        <f t="shared" si="3"/>
        <v>2</v>
      </c>
      <c r="J45" s="5">
        <f t="shared" si="4"/>
        <v>42666666.67</v>
      </c>
    </row>
    <row r="46">
      <c r="A46" s="11">
        <v>9.0</v>
      </c>
      <c r="B46" s="5" t="str">
        <f>IFERROR(__xludf.DUMMYFUNCTION("""COMPUTED_VALUE"""),"Cerebrovascular diseases (I60-I69)")</f>
        <v>Cerebrovascular diseases (I60-I69)</v>
      </c>
      <c r="C46" s="8">
        <f>IFERROR(__xludf.DUMMYFUNCTION("""COMPUTED_VALUE"""),89.0)</f>
        <v>89</v>
      </c>
      <c r="D46" s="5">
        <f>IFERROR(__xludf.DUMMYFUNCTION("""COMPUTED_VALUE"""),1.7)</f>
        <v>1.7</v>
      </c>
      <c r="E46" s="9">
        <f>IFERROR(__xludf.DUMMYFUNCTION("""COMPUTED_VALUE"""),0.2)</f>
        <v>0.2</v>
      </c>
      <c r="F46" s="5" t="str">
        <f>IFERROR(__xludf.DUMMYFUNCTION("""COMPUTED_VALUE"""),"both sexes")</f>
        <v>both sexes</v>
      </c>
      <c r="G46" s="5" t="str">
        <f>IFERROR(__xludf.DUMMYFUNCTION("""COMPUTED_VALUE"""),"5-14 years")</f>
        <v>5-14 years</v>
      </c>
      <c r="H46" s="9">
        <f t="shared" si="2"/>
        <v>0.2</v>
      </c>
      <c r="I46" s="5">
        <f t="shared" si="3"/>
        <v>2</v>
      </c>
      <c r="J46" s="5">
        <f t="shared" si="4"/>
        <v>44500000</v>
      </c>
    </row>
    <row r="47">
      <c r="A47" s="11">
        <v>10.0</v>
      </c>
      <c r="B47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47" s="8">
        <f>IFERROR(__xludf.DUMMYFUNCTION("""COMPUTED_VALUE"""),65.0)</f>
        <v>65</v>
      </c>
      <c r="D47" s="5">
        <f>IFERROR(__xludf.DUMMYFUNCTION("""COMPUTED_VALUE"""),1.2)</f>
        <v>1.2</v>
      </c>
      <c r="E47" s="9">
        <f>IFERROR(__xludf.DUMMYFUNCTION("""COMPUTED_VALUE"""),0.2)</f>
        <v>0.2</v>
      </c>
      <c r="F47" s="5" t="str">
        <f>IFERROR(__xludf.DUMMYFUNCTION("""COMPUTED_VALUE"""),"both sexes")</f>
        <v>both sexes</v>
      </c>
      <c r="G47" s="5" t="str">
        <f>IFERROR(__xludf.DUMMYFUNCTION("""COMPUTED_VALUE"""),"5-14 years")</f>
        <v>5-14 years</v>
      </c>
      <c r="H47" s="9">
        <f t="shared" si="2"/>
        <v>0.2</v>
      </c>
      <c r="I47" s="5">
        <f t="shared" si="3"/>
        <v>2</v>
      </c>
      <c r="J47" s="5">
        <f t="shared" si="4"/>
        <v>32500000</v>
      </c>
    </row>
    <row r="48">
      <c r="A48" s="11">
        <v>11.0</v>
      </c>
      <c r="B48" s="5" t="str">
        <f>IFERROR(__xludf.DUMMYFUNCTION("""COMPUTED_VALUE"""),"Septicemia (A40-A41)")</f>
        <v>Septicemia (A40-A41)</v>
      </c>
      <c r="C48" s="8">
        <f>IFERROR(__xludf.DUMMYFUNCTION("""COMPUTED_VALUE"""),55.0)</f>
        <v>55</v>
      </c>
      <c r="D48" s="5">
        <f>IFERROR(__xludf.DUMMYFUNCTION("""COMPUTED_VALUE"""),1.0)</f>
        <v>1</v>
      </c>
      <c r="E48" s="9">
        <f>IFERROR(__xludf.DUMMYFUNCTION("""COMPUTED_VALUE"""),0.1)</f>
        <v>0.1</v>
      </c>
      <c r="F48" s="5" t="str">
        <f>IFERROR(__xludf.DUMMYFUNCTION("""COMPUTED_VALUE"""),"both sexes")</f>
        <v>both sexes</v>
      </c>
      <c r="G48" s="5" t="str">
        <f>IFERROR(__xludf.DUMMYFUNCTION("""COMPUTED_VALUE"""),"5-14 years")</f>
        <v>5-14 years</v>
      </c>
      <c r="H48" s="9">
        <f t="shared" si="2"/>
        <v>0.1</v>
      </c>
      <c r="I48" s="5">
        <f t="shared" si="3"/>
        <v>2</v>
      </c>
      <c r="J48" s="5">
        <f t="shared" si="4"/>
        <v>55000000</v>
      </c>
    </row>
    <row r="49">
      <c r="A49" s="11">
        <v>12.0</v>
      </c>
      <c r="B49" s="5" t="str">
        <f>IFERROR(__xludf.DUMMYFUNCTION("""COMPUTED_VALUE"""),"Certain conditions originating in the perinatal period (P00-P96)")</f>
        <v>Certain conditions originating in the perinatal period (P00-P96)</v>
      </c>
      <c r="C49" s="8">
        <f>IFERROR(__xludf.DUMMYFUNCTION("""COMPUTED_VALUE"""),33.0)</f>
        <v>33</v>
      </c>
      <c r="D49" s="5">
        <f>IFERROR(__xludf.DUMMYFUNCTION("""COMPUTED_VALUE"""),0.6)</f>
        <v>0.6</v>
      </c>
      <c r="E49" s="9">
        <f>IFERROR(__xludf.DUMMYFUNCTION("""COMPUTED_VALUE"""),0.1)</f>
        <v>0.1</v>
      </c>
      <c r="F49" s="5" t="str">
        <f>IFERROR(__xludf.DUMMYFUNCTION("""COMPUTED_VALUE"""),"both sexes")</f>
        <v>both sexes</v>
      </c>
      <c r="G49" s="5" t="str">
        <f>IFERROR(__xludf.DUMMYFUNCTION("""COMPUTED_VALUE"""),"5-14 years")</f>
        <v>5-14 years</v>
      </c>
      <c r="H49" s="9">
        <f t="shared" si="2"/>
        <v>0.1</v>
      </c>
      <c r="I49" s="5">
        <f t="shared" si="3"/>
        <v>2</v>
      </c>
      <c r="J49" s="5">
        <f t="shared" si="4"/>
        <v>33000000</v>
      </c>
    </row>
    <row r="50">
      <c r="A50" s="11">
        <v>13.0</v>
      </c>
      <c r="B50" s="5" t="str">
        <f>IFERROR(__xludf.DUMMYFUNCTION("""COMPUTED_VALUE"""),"Complications of medical and surgical care (Y40-Y84,Y88)")</f>
        <v>Complications of medical and surgical care (Y40-Y84,Y88)</v>
      </c>
      <c r="C50" s="8">
        <f>IFERROR(__xludf.DUMMYFUNCTION("""COMPUTED_VALUE"""),26.0)</f>
        <v>26</v>
      </c>
      <c r="D50" s="5">
        <f>IFERROR(__xludf.DUMMYFUNCTION("""COMPUTED_VALUE"""),0.5)</f>
        <v>0.5</v>
      </c>
      <c r="E50" s="9">
        <f>IFERROR(__xludf.DUMMYFUNCTION("""COMPUTED_VALUE"""),0.1)</f>
        <v>0.1</v>
      </c>
      <c r="F50" s="5" t="str">
        <f>IFERROR(__xludf.DUMMYFUNCTION("""COMPUTED_VALUE"""),"both sexes")</f>
        <v>both sexes</v>
      </c>
      <c r="G50" s="5" t="str">
        <f>IFERROR(__xludf.DUMMYFUNCTION("""COMPUTED_VALUE"""),"5-14 years")</f>
        <v>5-14 years</v>
      </c>
      <c r="H50" s="9">
        <f t="shared" si="2"/>
        <v>0.1</v>
      </c>
      <c r="I50" s="5">
        <f t="shared" si="3"/>
        <v>2</v>
      </c>
      <c r="J50" s="5">
        <f t="shared" si="4"/>
        <v>26000000</v>
      </c>
    </row>
    <row r="51">
      <c r="A51" s="11">
        <v>14.0</v>
      </c>
      <c r="B51" s="5" t="str">
        <f>IFERROR(__xludf.DUMMYFUNCTION("""COMPUTED_VALUE"""),"Diabetes mellitus (E10-E14)")</f>
        <v>Diabetes mellitus (E10-E14)</v>
      </c>
      <c r="C51" s="8">
        <f>IFERROR(__xludf.DUMMYFUNCTION("""COMPUTED_VALUE"""),24.0)</f>
        <v>24</v>
      </c>
      <c r="D51" s="5">
        <f>IFERROR(__xludf.DUMMYFUNCTION("""COMPUTED_VALUE"""),0.4)</f>
        <v>0.4</v>
      </c>
      <c r="E51" s="9">
        <f>IFERROR(__xludf.DUMMYFUNCTION("""COMPUTED_VALUE"""),0.1)</f>
        <v>0.1</v>
      </c>
      <c r="F51" s="5" t="str">
        <f>IFERROR(__xludf.DUMMYFUNCTION("""COMPUTED_VALUE"""),"both sexes")</f>
        <v>both sexes</v>
      </c>
      <c r="G51" s="5" t="str">
        <f>IFERROR(__xludf.DUMMYFUNCTION("""COMPUTED_VALUE"""),"5-14 years")</f>
        <v>5-14 years</v>
      </c>
      <c r="H51" s="9">
        <f t="shared" si="2"/>
        <v>0.1</v>
      </c>
      <c r="I51" s="5">
        <f t="shared" si="3"/>
        <v>2</v>
      </c>
      <c r="J51" s="5">
        <f t="shared" si="4"/>
        <v>24000000</v>
      </c>
    </row>
    <row r="52">
      <c r="A52" s="11">
        <v>15.0</v>
      </c>
      <c r="B52" s="5" t="str">
        <f>IFERROR(__xludf.DUMMYFUNCTION("""COMPUTED_VALUE"""),"Anemias (D50-D64)")</f>
        <v>Anemias (D50-D64)</v>
      </c>
      <c r="C52" s="8">
        <f>IFERROR(__xludf.DUMMYFUNCTION("""COMPUTED_VALUE"""),17.0)</f>
        <v>17</v>
      </c>
      <c r="D52" s="5">
        <f>IFERROR(__xludf.DUMMYFUNCTION("""COMPUTED_VALUE"""),0.3)</f>
        <v>0.3</v>
      </c>
      <c r="E52" s="9"/>
      <c r="F52" s="5" t="str">
        <f>IFERROR(__xludf.DUMMYFUNCTION("""COMPUTED_VALUE"""),"both sexes")</f>
        <v>both sexes</v>
      </c>
      <c r="G52" s="5" t="str">
        <f>IFERROR(__xludf.DUMMYFUNCTION("""COMPUTED_VALUE"""),"5-14 years")</f>
        <v>5-14 years</v>
      </c>
      <c r="H52" s="5">
        <f t="shared" si="2"/>
        <v>0</v>
      </c>
      <c r="I52" s="5">
        <f t="shared" si="3"/>
        <v>2</v>
      </c>
      <c r="J52" s="5" t="str">
        <f t="shared" si="4"/>
        <v>#DIV/0!</v>
      </c>
    </row>
    <row r="53">
      <c r="A53" s="7" t="s">
        <v>12</v>
      </c>
      <c r="B53" s="5" t="str">
        <f>IFERROR(__xludf.DUMMYFUNCTION("""COMPUTED_VALUE"""),"All other causes (Residual)")</f>
        <v>All other causes (Residual)</v>
      </c>
      <c r="C53" s="8">
        <f>IFERROR(__xludf.DUMMYFUNCTION("""COMPUTED_VALUE"""),1147.0)</f>
        <v>1147</v>
      </c>
      <c r="D53" s="5">
        <f>IFERROR(__xludf.DUMMYFUNCTION("""COMPUTED_VALUE"""),21.5)</f>
        <v>21.5</v>
      </c>
      <c r="E53" s="9">
        <f>IFERROR(__xludf.DUMMYFUNCTION("""COMPUTED_VALUE"""),2.8)</f>
        <v>2.8</v>
      </c>
      <c r="F53" s="5" t="str">
        <f>IFERROR(__xludf.DUMMYFUNCTION("""COMPUTED_VALUE"""),"both sexes")</f>
        <v>both sexes</v>
      </c>
      <c r="G53" s="5" t="str">
        <f>IFERROR(__xludf.DUMMYFUNCTION("""COMPUTED_VALUE"""),"5-14 years")</f>
        <v>5-14 years</v>
      </c>
      <c r="H53" s="9">
        <f t="shared" si="2"/>
        <v>2.8</v>
      </c>
      <c r="I53" s="5">
        <f t="shared" si="3"/>
        <v>2</v>
      </c>
      <c r="J53" s="5">
        <f t="shared" si="4"/>
        <v>40964285.71</v>
      </c>
    </row>
    <row r="54">
      <c r="A54" s="7" t="s">
        <v>12</v>
      </c>
      <c r="B54" s="5" t="str">
        <f>IFERROR(__xludf.DUMMYFUNCTION("""COMPUTED_VALUE"""),"All causes")</f>
        <v>All causes</v>
      </c>
      <c r="C54" s="8">
        <f>IFERROR(__xludf.DUMMYFUNCTION("""COMPUTED_VALUE"""),28486.0)</f>
        <v>28486</v>
      </c>
      <c r="D54" s="5">
        <f>IFERROR(__xludf.DUMMYFUNCTION("""COMPUTED_VALUE"""),100.0)</f>
        <v>100</v>
      </c>
      <c r="E54" s="9">
        <f>IFERROR(__xludf.DUMMYFUNCTION("""COMPUTED_VALUE"""),64.8)</f>
        <v>64.8</v>
      </c>
      <c r="F54" s="5" t="str">
        <f>IFERROR(__xludf.DUMMYFUNCTION("""COMPUTED_VALUE"""),"both sexes")</f>
        <v>both sexes</v>
      </c>
      <c r="G54" s="5" t="str">
        <f>IFERROR(__xludf.DUMMYFUNCTION("""COMPUTED_VALUE"""),"15-24 years")</f>
        <v>15-24 years</v>
      </c>
      <c r="H54" s="9">
        <f t="shared" si="2"/>
        <v>64.8</v>
      </c>
      <c r="I54" s="5">
        <f t="shared" si="3"/>
        <v>3</v>
      </c>
      <c r="J54" s="5">
        <f t="shared" si="4"/>
        <v>43959876.54</v>
      </c>
    </row>
    <row r="55">
      <c r="A55" s="11">
        <v>1.0</v>
      </c>
      <c r="B55" s="5" t="str">
        <f>IFERROR(__xludf.DUMMYFUNCTION("""COMPUTED_VALUE"""),"Accidents (unintentional injuries) (V01-X59,Y85-Y86)")</f>
        <v>Accidents (unintentional injuries) (V01-X59,Y85-Y86)</v>
      </c>
      <c r="C55" s="8">
        <f>IFERROR(__xludf.DUMMYFUNCTION("""COMPUTED_VALUE"""),11619.0)</f>
        <v>11619</v>
      </c>
      <c r="D55" s="5">
        <f>IFERROR(__xludf.DUMMYFUNCTION("""COMPUTED_VALUE"""),40.8)</f>
        <v>40.8</v>
      </c>
      <c r="E55" s="9">
        <f>IFERROR(__xludf.DUMMYFUNCTION("""COMPUTED_VALUE"""),26.4)</f>
        <v>26.4</v>
      </c>
      <c r="F55" s="5" t="str">
        <f>IFERROR(__xludf.DUMMYFUNCTION("""COMPUTED_VALUE"""),"both sexes")</f>
        <v>both sexes</v>
      </c>
      <c r="G55" s="5" t="str">
        <f>IFERROR(__xludf.DUMMYFUNCTION("""COMPUTED_VALUE"""),"15-24 years")</f>
        <v>15-24 years</v>
      </c>
      <c r="H55" s="9">
        <f t="shared" si="2"/>
        <v>26.4</v>
      </c>
      <c r="I55" s="5">
        <f t="shared" si="3"/>
        <v>3</v>
      </c>
      <c r="J55" s="5">
        <f t="shared" si="4"/>
        <v>44011363.64</v>
      </c>
    </row>
    <row r="56">
      <c r="A56" s="11">
        <v>2.0</v>
      </c>
      <c r="B56" s="5" t="str">
        <f>IFERROR(__xludf.DUMMYFUNCTION("""COMPUTED_VALUE"""),"Intentional self-harm (suicide) (*U03,X60-X84,Y87.0)")</f>
        <v>Intentional self-harm (suicide) (*U03,X60-X84,Y87.0)</v>
      </c>
      <c r="C56" s="8">
        <f>IFERROR(__xludf.DUMMYFUNCTION("""COMPUTED_VALUE"""),4878.0)</f>
        <v>4878</v>
      </c>
      <c r="D56" s="5">
        <f>IFERROR(__xludf.DUMMYFUNCTION("""COMPUTED_VALUE"""),17.1)</f>
        <v>17.1</v>
      </c>
      <c r="E56" s="9">
        <f>IFERROR(__xludf.DUMMYFUNCTION("""COMPUTED_VALUE"""),11.1)</f>
        <v>11.1</v>
      </c>
      <c r="F56" s="5" t="str">
        <f>IFERROR(__xludf.DUMMYFUNCTION("""COMPUTED_VALUE"""),"both sexes")</f>
        <v>both sexes</v>
      </c>
      <c r="G56" s="5" t="str">
        <f>IFERROR(__xludf.DUMMYFUNCTION("""COMPUTED_VALUE"""),"15-24 years")</f>
        <v>15-24 years</v>
      </c>
      <c r="H56" s="9">
        <f t="shared" si="2"/>
        <v>11.1</v>
      </c>
      <c r="I56" s="5">
        <f t="shared" si="3"/>
        <v>3</v>
      </c>
      <c r="J56" s="5">
        <f t="shared" si="4"/>
        <v>43945945.95</v>
      </c>
    </row>
    <row r="57">
      <c r="A57" s="11">
        <v>3.0</v>
      </c>
      <c r="B57" s="5" t="str">
        <f>IFERROR(__xludf.DUMMYFUNCTION("""COMPUTED_VALUE"""),"Assault (homicide) (*U01-*U02,X85-Y09,Y87.1)")</f>
        <v>Assault (homicide) (*U01-*U02,X85-Y09,Y87.1)</v>
      </c>
      <c r="C57" s="8">
        <f>IFERROR(__xludf.DUMMYFUNCTION("""COMPUTED_VALUE"""),4329.0)</f>
        <v>4329</v>
      </c>
      <c r="D57" s="5">
        <f>IFERROR(__xludf.DUMMYFUNCTION("""COMPUTED_VALUE"""),15.2)</f>
        <v>15.2</v>
      </c>
      <c r="E57" s="9">
        <f>IFERROR(__xludf.DUMMYFUNCTION("""COMPUTED_VALUE"""),9.8)</f>
        <v>9.8</v>
      </c>
      <c r="F57" s="5" t="str">
        <f>IFERROR(__xludf.DUMMYFUNCTION("""COMPUTED_VALUE"""),"both sexes")</f>
        <v>both sexes</v>
      </c>
      <c r="G57" s="5" t="str">
        <f>IFERROR(__xludf.DUMMYFUNCTION("""COMPUTED_VALUE"""),"15-24 years")</f>
        <v>15-24 years</v>
      </c>
      <c r="H57" s="9">
        <f t="shared" si="2"/>
        <v>9.8</v>
      </c>
      <c r="I57" s="5">
        <f t="shared" si="3"/>
        <v>3</v>
      </c>
      <c r="J57" s="5">
        <f t="shared" si="4"/>
        <v>44173469.39</v>
      </c>
    </row>
    <row r="58">
      <c r="A58" s="11">
        <v>4.0</v>
      </c>
      <c r="B58" s="5" t="str">
        <f>IFERROR(__xludf.DUMMYFUNCTION("""COMPUTED_VALUE"""),"Malignant neoplasms (C00-C97)")</f>
        <v>Malignant neoplasms (C00-C97)</v>
      </c>
      <c r="C58" s="8">
        <f>IFERROR(__xludf.DUMMYFUNCTION("""COMPUTED_VALUE"""),1496.0)</f>
        <v>1496</v>
      </c>
      <c r="D58" s="5">
        <f>IFERROR(__xludf.DUMMYFUNCTION("""COMPUTED_VALUE"""),5.3)</f>
        <v>5.3</v>
      </c>
      <c r="E58" s="9">
        <f>IFERROR(__xludf.DUMMYFUNCTION("""COMPUTED_VALUE"""),3.4)</f>
        <v>3.4</v>
      </c>
      <c r="F58" s="5" t="str">
        <f>IFERROR(__xludf.DUMMYFUNCTION("""COMPUTED_VALUE"""),"both sexes")</f>
        <v>both sexes</v>
      </c>
      <c r="G58" s="5" t="str">
        <f>IFERROR(__xludf.DUMMYFUNCTION("""COMPUTED_VALUE"""),"15-24 years")</f>
        <v>15-24 years</v>
      </c>
      <c r="H58" s="9">
        <f t="shared" si="2"/>
        <v>3.4</v>
      </c>
      <c r="I58" s="5">
        <f t="shared" si="3"/>
        <v>3</v>
      </c>
      <c r="J58" s="5">
        <f t="shared" si="4"/>
        <v>44000000</v>
      </c>
    </row>
    <row r="59">
      <c r="A59" s="11">
        <v>5.0</v>
      </c>
      <c r="B59" s="5" t="str">
        <f>IFERROR(__xludf.DUMMYFUNCTION("""COMPUTED_VALUE"""),"Diseases of heart (I00-I09,I11,I13,I20-I51)")</f>
        <v>Diseases of heart (I00-I09,I11,I13,I20-I51)</v>
      </c>
      <c r="C59" s="8">
        <f>IFERROR(__xludf.DUMMYFUNCTION("""COMPUTED_VALUE"""),941.0)</f>
        <v>941</v>
      </c>
      <c r="D59" s="5">
        <f>IFERROR(__xludf.DUMMYFUNCTION("""COMPUTED_VALUE"""),3.3)</f>
        <v>3.3</v>
      </c>
      <c r="E59" s="9">
        <f>IFERROR(__xludf.DUMMYFUNCTION("""COMPUTED_VALUE"""),2.1)</f>
        <v>2.1</v>
      </c>
      <c r="F59" s="5" t="str">
        <f>IFERROR(__xludf.DUMMYFUNCTION("""COMPUTED_VALUE"""),"both sexes")</f>
        <v>both sexes</v>
      </c>
      <c r="G59" s="5" t="str">
        <f>IFERROR(__xludf.DUMMYFUNCTION("""COMPUTED_VALUE"""),"15-24 years")</f>
        <v>15-24 years</v>
      </c>
      <c r="H59" s="9">
        <f t="shared" si="2"/>
        <v>2.1</v>
      </c>
      <c r="I59" s="5">
        <f t="shared" si="3"/>
        <v>3</v>
      </c>
      <c r="J59" s="5">
        <f t="shared" si="4"/>
        <v>44809523.81</v>
      </c>
    </row>
    <row r="60">
      <c r="A60" s="11">
        <v>6.0</v>
      </c>
      <c r="B60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60" s="8">
        <f>IFERROR(__xludf.DUMMYFUNCTION("""COMPUTED_VALUE"""),362.0)</f>
        <v>362</v>
      </c>
      <c r="D60" s="5">
        <f>IFERROR(__xludf.DUMMYFUNCTION("""COMPUTED_VALUE"""),1.3)</f>
        <v>1.3</v>
      </c>
      <c r="E60" s="9">
        <f>IFERROR(__xludf.DUMMYFUNCTION("""COMPUTED_VALUE"""),0.8)</f>
        <v>0.8</v>
      </c>
      <c r="F60" s="5" t="str">
        <f>IFERROR(__xludf.DUMMYFUNCTION("""COMPUTED_VALUE"""),"both sexes")</f>
        <v>both sexes</v>
      </c>
      <c r="G60" s="5" t="str">
        <f>IFERROR(__xludf.DUMMYFUNCTION("""COMPUTED_VALUE"""),"15-24 years")</f>
        <v>15-24 years</v>
      </c>
      <c r="H60" s="9">
        <f t="shared" si="2"/>
        <v>0.8</v>
      </c>
      <c r="I60" s="5">
        <f t="shared" si="3"/>
        <v>3</v>
      </c>
      <c r="J60" s="5">
        <f t="shared" si="4"/>
        <v>45250000</v>
      </c>
    </row>
    <row r="61">
      <c r="A61" s="11">
        <v>7.0</v>
      </c>
      <c r="B61" s="5" t="str">
        <f>IFERROR(__xludf.DUMMYFUNCTION("""COMPUTED_VALUE"""),"Influenza and pneumonia (J09-J18)")</f>
        <v>Influenza and pneumonia (J09-J18)</v>
      </c>
      <c r="C61" s="8">
        <f>IFERROR(__xludf.DUMMYFUNCTION("""COMPUTED_VALUE"""),197.0)</f>
        <v>197</v>
      </c>
      <c r="D61" s="5">
        <f>IFERROR(__xludf.DUMMYFUNCTION("""COMPUTED_VALUE"""),0.7)</f>
        <v>0.7</v>
      </c>
      <c r="E61" s="9">
        <f>IFERROR(__xludf.DUMMYFUNCTION("""COMPUTED_VALUE"""),0.4)</f>
        <v>0.4</v>
      </c>
      <c r="F61" s="5" t="str">
        <f>IFERROR(__xludf.DUMMYFUNCTION("""COMPUTED_VALUE"""),"both sexes")</f>
        <v>both sexes</v>
      </c>
      <c r="G61" s="5" t="str">
        <f>IFERROR(__xludf.DUMMYFUNCTION("""COMPUTED_VALUE"""),"15-24 years")</f>
        <v>15-24 years</v>
      </c>
      <c r="H61" s="9">
        <f t="shared" si="2"/>
        <v>0.4</v>
      </c>
      <c r="I61" s="5">
        <f t="shared" si="3"/>
        <v>3</v>
      </c>
      <c r="J61" s="5">
        <f t="shared" si="4"/>
        <v>49250000</v>
      </c>
    </row>
    <row r="62">
      <c r="A62" s="11">
        <v>8.0</v>
      </c>
      <c r="B62" s="5" t="str">
        <f>IFERROR(__xludf.DUMMYFUNCTION("""COMPUTED_VALUE"""),"Diabetes mellitus (E10-E14)")</f>
        <v>Diabetes mellitus (E10-E14)</v>
      </c>
      <c r="C62" s="8">
        <f>IFERROR(__xludf.DUMMYFUNCTION("""COMPUTED_VALUE"""),193.0)</f>
        <v>193</v>
      </c>
      <c r="D62" s="5">
        <f>IFERROR(__xludf.DUMMYFUNCTION("""COMPUTED_VALUE"""),0.7)</f>
        <v>0.7</v>
      </c>
      <c r="E62" s="9">
        <f>IFERROR(__xludf.DUMMYFUNCTION("""COMPUTED_VALUE"""),0.4)</f>
        <v>0.4</v>
      </c>
      <c r="F62" s="5" t="str">
        <f>IFERROR(__xludf.DUMMYFUNCTION("""COMPUTED_VALUE"""),"both sexes")</f>
        <v>both sexes</v>
      </c>
      <c r="G62" s="5" t="str">
        <f>IFERROR(__xludf.DUMMYFUNCTION("""COMPUTED_VALUE"""),"15-24 years")</f>
        <v>15-24 years</v>
      </c>
      <c r="H62" s="9">
        <f t="shared" si="2"/>
        <v>0.4</v>
      </c>
      <c r="I62" s="5">
        <f t="shared" si="3"/>
        <v>3</v>
      </c>
      <c r="J62" s="5">
        <f t="shared" si="4"/>
        <v>48250000</v>
      </c>
    </row>
    <row r="63">
      <c r="A63" s="11">
        <v>9.0</v>
      </c>
      <c r="B63" s="5" t="str">
        <f>IFERROR(__xludf.DUMMYFUNCTION("""COMPUTED_VALUE"""),"Pregnancy, childbirth and the puerperium (O00-O99)")</f>
        <v>Pregnancy, childbirth and the puerperium (O00-O99)</v>
      </c>
      <c r="C63" s="8">
        <f>IFERROR(__xludf.DUMMYFUNCTION("""COMPUTED_VALUE"""),178.0)</f>
        <v>178</v>
      </c>
      <c r="D63" s="5">
        <f>IFERROR(__xludf.DUMMYFUNCTION("""COMPUTED_VALUE"""),0.6)</f>
        <v>0.6</v>
      </c>
      <c r="E63" s="9">
        <f>IFERROR(__xludf.DUMMYFUNCTION("""COMPUTED_VALUE"""),0.4)</f>
        <v>0.4</v>
      </c>
      <c r="F63" s="5" t="str">
        <f>IFERROR(__xludf.DUMMYFUNCTION("""COMPUTED_VALUE"""),"both sexes")</f>
        <v>both sexes</v>
      </c>
      <c r="G63" s="5" t="str">
        <f>IFERROR(__xludf.DUMMYFUNCTION("""COMPUTED_VALUE"""),"15-24 years")</f>
        <v>15-24 years</v>
      </c>
      <c r="H63" s="9">
        <f t="shared" si="2"/>
        <v>0.4</v>
      </c>
      <c r="I63" s="5">
        <f t="shared" si="3"/>
        <v>3</v>
      </c>
      <c r="J63" s="5">
        <f t="shared" si="4"/>
        <v>44500000</v>
      </c>
    </row>
    <row r="64">
      <c r="A64" s="11">
        <v>10.0</v>
      </c>
      <c r="B64" s="5" t="str">
        <f>IFERROR(__xludf.DUMMYFUNCTION("""COMPUTED_VALUE"""),"Chronic lower respiratory diseases (J40-J47)")</f>
        <v>Chronic lower respiratory diseases (J40-J47)</v>
      </c>
      <c r="C64" s="8">
        <f>IFERROR(__xludf.DUMMYFUNCTION("""COMPUTED_VALUE"""),155.0)</f>
        <v>155</v>
      </c>
      <c r="D64" s="5">
        <f>IFERROR(__xludf.DUMMYFUNCTION("""COMPUTED_VALUE"""),0.5)</f>
        <v>0.5</v>
      </c>
      <c r="E64" s="9">
        <f>IFERROR(__xludf.DUMMYFUNCTION("""COMPUTED_VALUE"""),0.4)</f>
        <v>0.4</v>
      </c>
      <c r="F64" s="5" t="str">
        <f>IFERROR(__xludf.DUMMYFUNCTION("""COMPUTED_VALUE"""),"both sexes")</f>
        <v>both sexes</v>
      </c>
      <c r="G64" s="5" t="str">
        <f>IFERROR(__xludf.DUMMYFUNCTION("""COMPUTED_VALUE"""),"15-24 years")</f>
        <v>15-24 years</v>
      </c>
      <c r="H64" s="9">
        <f t="shared" si="2"/>
        <v>0.4</v>
      </c>
      <c r="I64" s="5">
        <f t="shared" si="3"/>
        <v>3</v>
      </c>
      <c r="J64" s="5">
        <f t="shared" si="4"/>
        <v>38750000</v>
      </c>
    </row>
    <row r="65">
      <c r="A65" s="11">
        <v>11.0</v>
      </c>
      <c r="B65" s="5" t="str">
        <f>IFERROR(__xludf.DUMMYFUNCTION("""COMPUTED_VALUE"""),"Cerebrovascular diseases (I60-I69)")</f>
        <v>Cerebrovascular diseases (I60-I69)</v>
      </c>
      <c r="C65" s="8">
        <f>IFERROR(__xludf.DUMMYFUNCTION("""COMPUTED_VALUE"""),153.0)</f>
        <v>153</v>
      </c>
      <c r="D65" s="5">
        <f>IFERROR(__xludf.DUMMYFUNCTION("""COMPUTED_VALUE"""),0.5)</f>
        <v>0.5</v>
      </c>
      <c r="E65" s="9">
        <f>IFERROR(__xludf.DUMMYFUNCTION("""COMPUTED_VALUE"""),0.3)</f>
        <v>0.3</v>
      </c>
      <c r="F65" s="5" t="str">
        <f>IFERROR(__xludf.DUMMYFUNCTION("""COMPUTED_VALUE"""),"both sexes")</f>
        <v>both sexes</v>
      </c>
      <c r="G65" s="5" t="str">
        <f>IFERROR(__xludf.DUMMYFUNCTION("""COMPUTED_VALUE"""),"15-24 years")</f>
        <v>15-24 years</v>
      </c>
      <c r="H65" s="9">
        <f t="shared" si="2"/>
        <v>0.3</v>
      </c>
      <c r="I65" s="5">
        <f t="shared" si="3"/>
        <v>3</v>
      </c>
      <c r="J65" s="5">
        <f t="shared" si="4"/>
        <v>51000000</v>
      </c>
    </row>
    <row r="66">
      <c r="A66" s="11">
        <v>12.0</v>
      </c>
      <c r="B66" s="5" t="str">
        <f>IFERROR(__xludf.DUMMYFUNCTION("""COMPUTED_VALUE"""),"Septicemia (A40-A41)")</f>
        <v>Septicemia (A40-A41)</v>
      </c>
      <c r="C66" s="8">
        <f>IFERROR(__xludf.DUMMYFUNCTION("""COMPUTED_VALUE"""),138.0)</f>
        <v>138</v>
      </c>
      <c r="D66" s="5">
        <f>IFERROR(__xludf.DUMMYFUNCTION("""COMPUTED_VALUE"""),0.5)</f>
        <v>0.5</v>
      </c>
      <c r="E66" s="9">
        <f>IFERROR(__xludf.DUMMYFUNCTION("""COMPUTED_VALUE"""),0.3)</f>
        <v>0.3</v>
      </c>
      <c r="F66" s="5" t="str">
        <f>IFERROR(__xludf.DUMMYFUNCTION("""COMPUTED_VALUE"""),"both sexes")</f>
        <v>both sexes</v>
      </c>
      <c r="G66" s="5" t="str">
        <f>IFERROR(__xludf.DUMMYFUNCTION("""COMPUTED_VALUE"""),"15-24 years")</f>
        <v>15-24 years</v>
      </c>
      <c r="H66" s="9">
        <f t="shared" si="2"/>
        <v>0.3</v>
      </c>
      <c r="I66" s="5">
        <f t="shared" si="3"/>
        <v>3</v>
      </c>
      <c r="J66" s="5">
        <f t="shared" si="4"/>
        <v>46000000</v>
      </c>
    </row>
    <row r="67">
      <c r="A67" s="11">
        <v>13.0</v>
      </c>
      <c r="B67" s="5" t="str">
        <f>IFERROR(__xludf.DUMMYFUNCTION("""COMPUTED_VALUE"""),"Human immunodeficiency virus (HIV) disease (B20-B24)")</f>
        <v>Human immunodeficiency virus (HIV) disease (B20-B24)</v>
      </c>
      <c r="C67" s="8">
        <f>IFERROR(__xludf.DUMMYFUNCTION("""COMPUTED_VALUE"""),109.0)</f>
        <v>109</v>
      </c>
      <c r="D67" s="5">
        <f>IFERROR(__xludf.DUMMYFUNCTION("""COMPUTED_VALUE"""),0.4)</f>
        <v>0.4</v>
      </c>
      <c r="E67" s="9">
        <f>IFERROR(__xludf.DUMMYFUNCTION("""COMPUTED_VALUE"""),0.2)</f>
        <v>0.2</v>
      </c>
      <c r="F67" s="5" t="str">
        <f>IFERROR(__xludf.DUMMYFUNCTION("""COMPUTED_VALUE"""),"both sexes")</f>
        <v>both sexes</v>
      </c>
      <c r="G67" s="5" t="str">
        <f>IFERROR(__xludf.DUMMYFUNCTION("""COMPUTED_VALUE"""),"15-24 years")</f>
        <v>15-24 years</v>
      </c>
      <c r="H67" s="9">
        <f t="shared" si="2"/>
        <v>0.2</v>
      </c>
      <c r="I67" s="5">
        <f t="shared" si="3"/>
        <v>3</v>
      </c>
      <c r="J67" s="5">
        <f t="shared" si="4"/>
        <v>54500000</v>
      </c>
    </row>
    <row r="68">
      <c r="A68" s="11">
        <v>14.0</v>
      </c>
      <c r="B68" s="5" t="str">
        <f>IFERROR(__xludf.DUMMYFUNCTION("""COMPUTED_VALUE"""),"Legal intervention (Y35,Y89.0)")</f>
        <v>Legal intervention (Y35,Y89.0)</v>
      </c>
      <c r="C68" s="8">
        <f>IFERROR(__xludf.DUMMYFUNCTION("""COMPUTED_VALUE"""),99.0)</f>
        <v>99</v>
      </c>
      <c r="D68" s="5">
        <f>IFERROR(__xludf.DUMMYFUNCTION("""COMPUTED_VALUE"""),0.3)</f>
        <v>0.3</v>
      </c>
      <c r="E68" s="9">
        <f>IFERROR(__xludf.DUMMYFUNCTION("""COMPUTED_VALUE"""),0.2)</f>
        <v>0.2</v>
      </c>
      <c r="F68" s="5" t="str">
        <f>IFERROR(__xludf.DUMMYFUNCTION("""COMPUTED_VALUE"""),"both sexes")</f>
        <v>both sexes</v>
      </c>
      <c r="G68" s="5" t="str">
        <f>IFERROR(__xludf.DUMMYFUNCTION("""COMPUTED_VALUE"""),"15-24 years")</f>
        <v>15-24 years</v>
      </c>
      <c r="H68" s="9">
        <f t="shared" si="2"/>
        <v>0.2</v>
      </c>
      <c r="I68" s="5">
        <f t="shared" si="3"/>
        <v>3</v>
      </c>
      <c r="J68" s="5">
        <f t="shared" si="4"/>
        <v>49500000</v>
      </c>
    </row>
    <row r="69">
      <c r="A69" s="11">
        <v>15.0</v>
      </c>
      <c r="B69" s="5" t="str">
        <f>IFERROR(__xludf.DUMMYFUNCTION("""COMPUTED_VALUE"""),"Anemias (D50-D64)")</f>
        <v>Anemias (D50-D64)</v>
      </c>
      <c r="C69" s="8">
        <f>IFERROR(__xludf.DUMMYFUNCTION("""COMPUTED_VALUE"""),93.0)</f>
        <v>93</v>
      </c>
      <c r="D69" s="5">
        <f>IFERROR(__xludf.DUMMYFUNCTION("""COMPUTED_VALUE"""),0.3)</f>
        <v>0.3</v>
      </c>
      <c r="E69" s="9">
        <f>IFERROR(__xludf.DUMMYFUNCTION("""COMPUTED_VALUE"""),0.2)</f>
        <v>0.2</v>
      </c>
      <c r="F69" s="5" t="str">
        <f>IFERROR(__xludf.DUMMYFUNCTION("""COMPUTED_VALUE"""),"both sexes")</f>
        <v>both sexes</v>
      </c>
      <c r="G69" s="5" t="str">
        <f>IFERROR(__xludf.DUMMYFUNCTION("""COMPUTED_VALUE"""),"15-24 years")</f>
        <v>15-24 years</v>
      </c>
      <c r="H69" s="9">
        <f t="shared" si="2"/>
        <v>0.2</v>
      </c>
      <c r="I69" s="5">
        <f t="shared" si="3"/>
        <v>3</v>
      </c>
      <c r="J69" s="5">
        <f t="shared" si="4"/>
        <v>46500000</v>
      </c>
    </row>
    <row r="70">
      <c r="A70" s="7" t="s">
        <v>12</v>
      </c>
      <c r="B70" s="5" t="str">
        <f>IFERROR(__xludf.DUMMYFUNCTION("""COMPUTED_VALUE"""),"All other causes (Residual)")</f>
        <v>All other causes (Residual)</v>
      </c>
      <c r="C70" s="8">
        <f>IFERROR(__xludf.DUMMYFUNCTION("""COMPUTED_VALUE"""),3546.0)</f>
        <v>3546</v>
      </c>
      <c r="D70" s="5">
        <f>IFERROR(__xludf.DUMMYFUNCTION("""COMPUTED_VALUE"""),12.4)</f>
        <v>12.4</v>
      </c>
      <c r="E70" s="9">
        <f>IFERROR(__xludf.DUMMYFUNCTION("""COMPUTED_VALUE"""),8.1)</f>
        <v>8.1</v>
      </c>
      <c r="F70" s="5" t="str">
        <f>IFERROR(__xludf.DUMMYFUNCTION("""COMPUTED_VALUE"""),"both sexes")</f>
        <v>both sexes</v>
      </c>
      <c r="G70" s="5" t="str">
        <f>IFERROR(__xludf.DUMMYFUNCTION("""COMPUTED_VALUE"""),"15-24 years")</f>
        <v>15-24 years</v>
      </c>
      <c r="H70" s="9">
        <f t="shared" si="2"/>
        <v>8.1</v>
      </c>
      <c r="I70" s="5">
        <f t="shared" si="3"/>
        <v>3</v>
      </c>
      <c r="J70" s="5">
        <f t="shared" si="4"/>
        <v>43777777.78</v>
      </c>
    </row>
    <row r="71">
      <c r="A71" s="7" t="s">
        <v>12</v>
      </c>
      <c r="B71" s="5" t="str">
        <f>IFERROR(__xludf.DUMMYFUNCTION("""COMPUTED_VALUE"""),"All causes")</f>
        <v>All causes</v>
      </c>
      <c r="C71" s="8">
        <f>IFERROR(__xludf.DUMMYFUNCTION("""COMPUTED_VALUE"""),45463.0)</f>
        <v>45463</v>
      </c>
      <c r="D71" s="5">
        <f>IFERROR(__xludf.DUMMYFUNCTION("""COMPUTED_VALUE"""),100.0)</f>
        <v>100</v>
      </c>
      <c r="E71" s="9">
        <f>IFERROR(__xludf.DUMMYFUNCTION("""COMPUTED_VALUE"""),106.1)</f>
        <v>106.1</v>
      </c>
      <c r="F71" s="5" t="str">
        <f>IFERROR(__xludf.DUMMYFUNCTION("""COMPUTED_VALUE"""),"both sexes")</f>
        <v>both sexes</v>
      </c>
      <c r="G71" s="5" t="str">
        <f>IFERROR(__xludf.DUMMYFUNCTION("""COMPUTED_VALUE"""),"25-34 years")</f>
        <v>25-34 years</v>
      </c>
      <c r="H71" s="9">
        <f t="shared" si="2"/>
        <v>106.1</v>
      </c>
      <c r="I71" s="5">
        <f t="shared" si="3"/>
        <v>4</v>
      </c>
      <c r="J71" s="5">
        <f t="shared" si="4"/>
        <v>42849198.87</v>
      </c>
    </row>
    <row r="72">
      <c r="A72" s="11">
        <v>1.0</v>
      </c>
      <c r="B72" s="5" t="str">
        <f>IFERROR(__xludf.DUMMYFUNCTION("""COMPUTED_VALUE"""),"Accidents (unintentional injuries) (V01-X59,Y85-Y86)")</f>
        <v>Accidents (unintentional injuries) (V01-X59,Y85-Y86)</v>
      </c>
      <c r="C72" s="8">
        <f>IFERROR(__xludf.DUMMYFUNCTION("""COMPUTED_VALUE"""),16209.0)</f>
        <v>16209</v>
      </c>
      <c r="D72" s="5">
        <f>IFERROR(__xludf.DUMMYFUNCTION("""COMPUTED_VALUE"""),35.7)</f>
        <v>35.7</v>
      </c>
      <c r="E72" s="9">
        <f>IFERROR(__xludf.DUMMYFUNCTION("""COMPUTED_VALUE"""),37.8)</f>
        <v>37.8</v>
      </c>
      <c r="F72" s="5" t="str">
        <f>IFERROR(__xludf.DUMMYFUNCTION("""COMPUTED_VALUE"""),"both sexes")</f>
        <v>both sexes</v>
      </c>
      <c r="G72" s="5" t="str">
        <f>IFERROR(__xludf.DUMMYFUNCTION("""COMPUTED_VALUE"""),"25-34 years")</f>
        <v>25-34 years</v>
      </c>
      <c r="H72" s="9">
        <f t="shared" si="2"/>
        <v>37.8</v>
      </c>
      <c r="I72" s="5">
        <f t="shared" si="3"/>
        <v>4</v>
      </c>
      <c r="J72" s="5">
        <f t="shared" si="4"/>
        <v>42880952.38</v>
      </c>
    </row>
    <row r="73">
      <c r="A73" s="11">
        <v>2.0</v>
      </c>
      <c r="B73" s="5" t="str">
        <f>IFERROR(__xludf.DUMMYFUNCTION("""COMPUTED_VALUE"""),"Intentional self-harm (suicide) (*U03,X60-X84,Y87.0)")</f>
        <v>Intentional self-harm (suicide) (*U03,X60-X84,Y87.0)</v>
      </c>
      <c r="C73" s="8">
        <f>IFERROR(__xludf.DUMMYFUNCTION("""COMPUTED_VALUE"""),6348.0)</f>
        <v>6348</v>
      </c>
      <c r="D73" s="5">
        <f>IFERROR(__xludf.DUMMYFUNCTION("""COMPUTED_VALUE"""),14.0)</f>
        <v>14</v>
      </c>
      <c r="E73" s="9">
        <f>IFERROR(__xludf.DUMMYFUNCTION("""COMPUTED_VALUE"""),14.8)</f>
        <v>14.8</v>
      </c>
      <c r="F73" s="5" t="str">
        <f>IFERROR(__xludf.DUMMYFUNCTION("""COMPUTED_VALUE"""),"both sexes")</f>
        <v>both sexes</v>
      </c>
      <c r="G73" s="5" t="str">
        <f>IFERROR(__xludf.DUMMYFUNCTION("""COMPUTED_VALUE"""),"25-34 years")</f>
        <v>25-34 years</v>
      </c>
      <c r="H73" s="9">
        <f t="shared" si="2"/>
        <v>14.8</v>
      </c>
      <c r="I73" s="5">
        <f t="shared" si="3"/>
        <v>4</v>
      </c>
      <c r="J73" s="5">
        <f t="shared" si="4"/>
        <v>42891891.89</v>
      </c>
    </row>
    <row r="74">
      <c r="A74" s="11">
        <v>3.0</v>
      </c>
      <c r="B74" s="5" t="str">
        <f>IFERROR(__xludf.DUMMYFUNCTION("""COMPUTED_VALUE"""),"Assault (homicide) (*U01-*U02,X85-Y09,Y87.1)")</f>
        <v>Assault (homicide) (*U01-*U02,X85-Y09,Y87.1)</v>
      </c>
      <c r="C74" s="8">
        <f>IFERROR(__xludf.DUMMYFUNCTION("""COMPUTED_VALUE"""),4236.0)</f>
        <v>4236</v>
      </c>
      <c r="D74" s="5">
        <f>IFERROR(__xludf.DUMMYFUNCTION("""COMPUTED_VALUE"""),9.3)</f>
        <v>9.3</v>
      </c>
      <c r="E74" s="9">
        <f>IFERROR(__xludf.DUMMYFUNCTION("""COMPUTED_VALUE"""),9.9)</f>
        <v>9.9</v>
      </c>
      <c r="F74" s="5" t="str">
        <f>IFERROR(__xludf.DUMMYFUNCTION("""COMPUTED_VALUE"""),"both sexes")</f>
        <v>both sexes</v>
      </c>
      <c r="G74" s="5" t="str">
        <f>IFERROR(__xludf.DUMMYFUNCTION("""COMPUTED_VALUE"""),"25-34 years")</f>
        <v>25-34 years</v>
      </c>
      <c r="H74" s="9">
        <f t="shared" si="2"/>
        <v>9.9</v>
      </c>
      <c r="I74" s="5">
        <f t="shared" si="3"/>
        <v>4</v>
      </c>
      <c r="J74" s="5">
        <f t="shared" si="4"/>
        <v>42787878.79</v>
      </c>
    </row>
    <row r="75">
      <c r="A75" s="11">
        <v>4.0</v>
      </c>
      <c r="B75" s="5" t="str">
        <f>IFERROR(__xludf.DUMMYFUNCTION("""COMPUTED_VALUE"""),"Malignant neoplasms (C00-C97)")</f>
        <v>Malignant neoplasms (C00-C97)</v>
      </c>
      <c r="C75" s="8">
        <f>IFERROR(__xludf.DUMMYFUNCTION("""COMPUTED_VALUE"""),3673.0)</f>
        <v>3673</v>
      </c>
      <c r="D75" s="5">
        <f>IFERROR(__xludf.DUMMYFUNCTION("""COMPUTED_VALUE"""),8.1)</f>
        <v>8.1</v>
      </c>
      <c r="E75" s="9">
        <f>IFERROR(__xludf.DUMMYFUNCTION("""COMPUTED_VALUE"""),8.6)</f>
        <v>8.6</v>
      </c>
      <c r="F75" s="5" t="str">
        <f>IFERROR(__xludf.DUMMYFUNCTION("""COMPUTED_VALUE"""),"both sexes")</f>
        <v>both sexes</v>
      </c>
      <c r="G75" s="5" t="str">
        <f>IFERROR(__xludf.DUMMYFUNCTION("""COMPUTED_VALUE"""),"25-34 years")</f>
        <v>25-34 years</v>
      </c>
      <c r="H75" s="9">
        <f t="shared" si="2"/>
        <v>8.6</v>
      </c>
      <c r="I75" s="5">
        <f t="shared" si="3"/>
        <v>4</v>
      </c>
      <c r="J75" s="5">
        <f t="shared" si="4"/>
        <v>42709302.33</v>
      </c>
    </row>
    <row r="76">
      <c r="A76" s="11">
        <v>5.0</v>
      </c>
      <c r="B76" s="5" t="str">
        <f>IFERROR(__xludf.DUMMYFUNCTION("""COMPUTED_VALUE"""),"Diseases of heart (I00-I09,I11,I13,I20-I51)")</f>
        <v>Diseases of heart (I00-I09,I11,I13,I20-I51)</v>
      </c>
      <c r="C76" s="8">
        <f>IFERROR(__xludf.DUMMYFUNCTION("""COMPUTED_VALUE"""),3258.0)</f>
        <v>3258</v>
      </c>
      <c r="D76" s="5">
        <f>IFERROR(__xludf.DUMMYFUNCTION("""COMPUTED_VALUE"""),7.2)</f>
        <v>7.2</v>
      </c>
      <c r="E76" s="9">
        <f>IFERROR(__xludf.DUMMYFUNCTION("""COMPUTED_VALUE"""),7.6)</f>
        <v>7.6</v>
      </c>
      <c r="F76" s="5" t="str">
        <f>IFERROR(__xludf.DUMMYFUNCTION("""COMPUTED_VALUE"""),"both sexes")</f>
        <v>both sexes</v>
      </c>
      <c r="G76" s="5" t="str">
        <f>IFERROR(__xludf.DUMMYFUNCTION("""COMPUTED_VALUE"""),"25-34 years")</f>
        <v>25-34 years</v>
      </c>
      <c r="H76" s="9">
        <f t="shared" si="2"/>
        <v>7.6</v>
      </c>
      <c r="I76" s="5">
        <f t="shared" si="3"/>
        <v>4</v>
      </c>
      <c r="J76" s="5">
        <f t="shared" si="4"/>
        <v>42868421.05</v>
      </c>
    </row>
    <row r="77">
      <c r="A77" s="11">
        <v>6.0</v>
      </c>
      <c r="B77" s="5" t="str">
        <f>IFERROR(__xludf.DUMMYFUNCTION("""COMPUTED_VALUE"""),"Diabetes mellitus (E10-E14)")</f>
        <v>Diabetes mellitus (E10-E14)</v>
      </c>
      <c r="C77" s="8">
        <f>IFERROR(__xludf.DUMMYFUNCTION("""COMPUTED_VALUE"""),684.0)</f>
        <v>684</v>
      </c>
      <c r="D77" s="5">
        <f>IFERROR(__xludf.DUMMYFUNCTION("""COMPUTED_VALUE"""),1.5)</f>
        <v>1.5</v>
      </c>
      <c r="E77" s="9">
        <f>IFERROR(__xludf.DUMMYFUNCTION("""COMPUTED_VALUE"""),1.6)</f>
        <v>1.6</v>
      </c>
      <c r="F77" s="5" t="str">
        <f>IFERROR(__xludf.DUMMYFUNCTION("""COMPUTED_VALUE"""),"both sexes")</f>
        <v>both sexes</v>
      </c>
      <c r="G77" s="5" t="str">
        <f>IFERROR(__xludf.DUMMYFUNCTION("""COMPUTED_VALUE"""),"25-34 years")</f>
        <v>25-34 years</v>
      </c>
      <c r="H77" s="9">
        <f t="shared" si="2"/>
        <v>1.6</v>
      </c>
      <c r="I77" s="5">
        <f t="shared" si="3"/>
        <v>4</v>
      </c>
      <c r="J77" s="5">
        <f t="shared" si="4"/>
        <v>42750000</v>
      </c>
    </row>
    <row r="78">
      <c r="A78" s="11">
        <v>7.0</v>
      </c>
      <c r="B78" s="5" t="str">
        <f>IFERROR(__xludf.DUMMYFUNCTION("""COMPUTED_VALUE"""),"Chronic liver disease and cirrhosis (K70,K73-K74)")</f>
        <v>Chronic liver disease and cirrhosis (K70,K73-K74)</v>
      </c>
      <c r="C78" s="8">
        <f>IFERROR(__xludf.DUMMYFUNCTION("""COMPUTED_VALUE"""),676.0)</f>
        <v>676</v>
      </c>
      <c r="D78" s="5">
        <f>IFERROR(__xludf.DUMMYFUNCTION("""COMPUTED_VALUE"""),1.5)</f>
        <v>1.5</v>
      </c>
      <c r="E78" s="9">
        <f>IFERROR(__xludf.DUMMYFUNCTION("""COMPUTED_VALUE"""),1.6)</f>
        <v>1.6</v>
      </c>
      <c r="F78" s="5" t="str">
        <f>IFERROR(__xludf.DUMMYFUNCTION("""COMPUTED_VALUE"""),"both sexes")</f>
        <v>both sexes</v>
      </c>
      <c r="G78" s="5" t="str">
        <f>IFERROR(__xludf.DUMMYFUNCTION("""COMPUTED_VALUE"""),"25-34 years")</f>
        <v>25-34 years</v>
      </c>
      <c r="H78" s="9">
        <f t="shared" si="2"/>
        <v>1.6</v>
      </c>
      <c r="I78" s="5">
        <f t="shared" si="3"/>
        <v>4</v>
      </c>
      <c r="J78" s="5">
        <f t="shared" si="4"/>
        <v>42250000</v>
      </c>
    </row>
    <row r="79">
      <c r="A79" s="11">
        <v>8.0</v>
      </c>
      <c r="B79" s="5" t="str">
        <f>IFERROR(__xludf.DUMMYFUNCTION("""COMPUTED_VALUE"""),"Human immunodeficiency virus (HIV) disease (B20-B24)")</f>
        <v>Human immunodeficiency virus (HIV) disease (B20-B24)</v>
      </c>
      <c r="C79" s="8">
        <f>IFERROR(__xludf.DUMMYFUNCTION("""COMPUTED_VALUE"""),631.0)</f>
        <v>631</v>
      </c>
      <c r="D79" s="5">
        <f>IFERROR(__xludf.DUMMYFUNCTION("""COMPUTED_VALUE"""),1.4)</f>
        <v>1.4</v>
      </c>
      <c r="E79" s="9">
        <f>IFERROR(__xludf.DUMMYFUNCTION("""COMPUTED_VALUE"""),1.5)</f>
        <v>1.5</v>
      </c>
      <c r="F79" s="5" t="str">
        <f>IFERROR(__xludf.DUMMYFUNCTION("""COMPUTED_VALUE"""),"both sexes")</f>
        <v>both sexes</v>
      </c>
      <c r="G79" s="5" t="str">
        <f>IFERROR(__xludf.DUMMYFUNCTION("""COMPUTED_VALUE"""),"25-34 years")</f>
        <v>25-34 years</v>
      </c>
      <c r="H79" s="9">
        <f t="shared" si="2"/>
        <v>1.5</v>
      </c>
      <c r="I79" s="5">
        <f t="shared" si="3"/>
        <v>4</v>
      </c>
      <c r="J79" s="5">
        <f t="shared" si="4"/>
        <v>42066666.67</v>
      </c>
    </row>
    <row r="80">
      <c r="A80" s="11">
        <v>9.0</v>
      </c>
      <c r="B80" s="5" t="str">
        <f>IFERROR(__xludf.DUMMYFUNCTION("""COMPUTED_VALUE"""),"Cerebrovascular diseases (I60-I69)")</f>
        <v>Cerebrovascular diseases (I60-I69)</v>
      </c>
      <c r="C80" s="8">
        <f>IFERROR(__xludf.DUMMYFUNCTION("""COMPUTED_VALUE"""),508.0)</f>
        <v>508</v>
      </c>
      <c r="D80" s="5">
        <f>IFERROR(__xludf.DUMMYFUNCTION("""COMPUTED_VALUE"""),1.1)</f>
        <v>1.1</v>
      </c>
      <c r="E80" s="9">
        <f>IFERROR(__xludf.DUMMYFUNCTION("""COMPUTED_VALUE"""),1.2)</f>
        <v>1.2</v>
      </c>
      <c r="F80" s="5" t="str">
        <f>IFERROR(__xludf.DUMMYFUNCTION("""COMPUTED_VALUE"""),"both sexes")</f>
        <v>both sexes</v>
      </c>
      <c r="G80" s="5" t="str">
        <f>IFERROR(__xludf.DUMMYFUNCTION("""COMPUTED_VALUE"""),"25-34 years")</f>
        <v>25-34 years</v>
      </c>
      <c r="H80" s="9">
        <f t="shared" si="2"/>
        <v>1.2</v>
      </c>
      <c r="I80" s="5">
        <f t="shared" si="3"/>
        <v>4</v>
      </c>
      <c r="J80" s="5">
        <f t="shared" si="4"/>
        <v>42333333.33</v>
      </c>
    </row>
    <row r="81">
      <c r="A81" s="11">
        <v>10.0</v>
      </c>
      <c r="B81" s="5" t="str">
        <f>IFERROR(__xludf.DUMMYFUNCTION("""COMPUTED_VALUE"""),"Influenza and pneumonia (J09-J18)")</f>
        <v>Influenza and pneumonia (J09-J18)</v>
      </c>
      <c r="C81" s="8">
        <f>IFERROR(__xludf.DUMMYFUNCTION("""COMPUTED_VALUE"""),449.0)</f>
        <v>449</v>
      </c>
      <c r="D81" s="5">
        <f>IFERROR(__xludf.DUMMYFUNCTION("""COMPUTED_VALUE"""),1.0)</f>
        <v>1</v>
      </c>
      <c r="E81" s="9">
        <f>IFERROR(__xludf.DUMMYFUNCTION("""COMPUTED_VALUE"""),1.0)</f>
        <v>1</v>
      </c>
      <c r="F81" s="5" t="str">
        <f>IFERROR(__xludf.DUMMYFUNCTION("""COMPUTED_VALUE"""),"both sexes")</f>
        <v>both sexes</v>
      </c>
      <c r="G81" s="5" t="str">
        <f>IFERROR(__xludf.DUMMYFUNCTION("""COMPUTED_VALUE"""),"25-34 years")</f>
        <v>25-34 years</v>
      </c>
      <c r="H81" s="9">
        <f t="shared" si="2"/>
        <v>1</v>
      </c>
      <c r="I81" s="5">
        <f t="shared" si="3"/>
        <v>4</v>
      </c>
      <c r="J81" s="5">
        <f t="shared" si="4"/>
        <v>44900000</v>
      </c>
    </row>
    <row r="82">
      <c r="A82" s="11">
        <v>11.0</v>
      </c>
      <c r="B82" s="5" t="str">
        <f>IFERROR(__xludf.DUMMYFUNCTION("""COMPUTED_VALUE"""),"Pregnancy, childbirth and the puerperium (O00-O99)")</f>
        <v>Pregnancy, childbirth and the puerperium (O00-O99)</v>
      </c>
      <c r="C82" s="8">
        <f>IFERROR(__xludf.DUMMYFUNCTION("""COMPUTED_VALUE"""),441.0)</f>
        <v>441</v>
      </c>
      <c r="D82" s="5">
        <f>IFERROR(__xludf.DUMMYFUNCTION("""COMPUTED_VALUE"""),1.0)</f>
        <v>1</v>
      </c>
      <c r="E82" s="9">
        <f>IFERROR(__xludf.DUMMYFUNCTION("""COMPUTED_VALUE"""),1.0)</f>
        <v>1</v>
      </c>
      <c r="F82" s="5" t="str">
        <f>IFERROR(__xludf.DUMMYFUNCTION("""COMPUTED_VALUE"""),"both sexes")</f>
        <v>both sexes</v>
      </c>
      <c r="G82" s="5" t="str">
        <f>IFERROR(__xludf.DUMMYFUNCTION("""COMPUTED_VALUE"""),"25-34 years")</f>
        <v>25-34 years</v>
      </c>
      <c r="H82" s="9">
        <f t="shared" si="2"/>
        <v>1</v>
      </c>
      <c r="I82" s="5">
        <f t="shared" si="3"/>
        <v>4</v>
      </c>
      <c r="J82" s="5">
        <f t="shared" si="4"/>
        <v>44100000</v>
      </c>
    </row>
    <row r="83">
      <c r="A83" s="11">
        <v>12.0</v>
      </c>
      <c r="B83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83" s="8">
        <f>IFERROR(__xludf.DUMMYFUNCTION("""COMPUTED_VALUE"""),423.0)</f>
        <v>423</v>
      </c>
      <c r="D83" s="5">
        <f>IFERROR(__xludf.DUMMYFUNCTION("""COMPUTED_VALUE"""),0.9)</f>
        <v>0.9</v>
      </c>
      <c r="E83" s="9">
        <f>IFERROR(__xludf.DUMMYFUNCTION("""COMPUTED_VALUE"""),1.0)</f>
        <v>1</v>
      </c>
      <c r="F83" s="5" t="str">
        <f>IFERROR(__xludf.DUMMYFUNCTION("""COMPUTED_VALUE"""),"both sexes")</f>
        <v>both sexes</v>
      </c>
      <c r="G83" s="5" t="str">
        <f>IFERROR(__xludf.DUMMYFUNCTION("""COMPUTED_VALUE"""),"25-34 years")</f>
        <v>25-34 years</v>
      </c>
      <c r="H83" s="9">
        <f t="shared" si="2"/>
        <v>1</v>
      </c>
      <c r="I83" s="5">
        <f t="shared" si="3"/>
        <v>4</v>
      </c>
      <c r="J83" s="5">
        <f t="shared" si="4"/>
        <v>42300000</v>
      </c>
    </row>
    <row r="84">
      <c r="A84" s="11">
        <v>13.0</v>
      </c>
      <c r="B84" s="5" t="str">
        <f>IFERROR(__xludf.DUMMYFUNCTION("""COMPUTED_VALUE"""),"Septicemia (A40-A41)")</f>
        <v>Septicemia (A40-A41)</v>
      </c>
      <c r="C84" s="8">
        <f>IFERROR(__xludf.DUMMYFUNCTION("""COMPUTED_VALUE"""),333.0)</f>
        <v>333</v>
      </c>
      <c r="D84" s="5">
        <f>IFERROR(__xludf.DUMMYFUNCTION("""COMPUTED_VALUE"""),0.7)</f>
        <v>0.7</v>
      </c>
      <c r="E84" s="9">
        <f>IFERROR(__xludf.DUMMYFUNCTION("""COMPUTED_VALUE"""),0.8)</f>
        <v>0.8</v>
      </c>
      <c r="F84" s="5" t="str">
        <f>IFERROR(__xludf.DUMMYFUNCTION("""COMPUTED_VALUE"""),"both sexes")</f>
        <v>both sexes</v>
      </c>
      <c r="G84" s="5" t="str">
        <f>IFERROR(__xludf.DUMMYFUNCTION("""COMPUTED_VALUE"""),"25-34 years")</f>
        <v>25-34 years</v>
      </c>
      <c r="H84" s="9">
        <f t="shared" si="2"/>
        <v>0.8</v>
      </c>
      <c r="I84" s="5">
        <f t="shared" si="3"/>
        <v>4</v>
      </c>
      <c r="J84" s="5">
        <f t="shared" si="4"/>
        <v>41625000</v>
      </c>
    </row>
    <row r="85">
      <c r="A85" s="11">
        <v>14.0</v>
      </c>
      <c r="B85" s="5" t="str">
        <f>IFERROR(__xludf.DUMMYFUNCTION("""COMPUTED_VALUE"""),"Chronic lower respiratory diseases (J40-J47)")</f>
        <v>Chronic lower respiratory diseases (J40-J47)</v>
      </c>
      <c r="C85" s="8">
        <f>IFERROR(__xludf.DUMMYFUNCTION("""COMPUTED_VALUE"""),291.0)</f>
        <v>291</v>
      </c>
      <c r="D85" s="5">
        <f>IFERROR(__xludf.DUMMYFUNCTION("""COMPUTED_VALUE"""),0.6)</f>
        <v>0.6</v>
      </c>
      <c r="E85" s="9">
        <f>IFERROR(__xludf.DUMMYFUNCTION("""COMPUTED_VALUE"""),0.7)</f>
        <v>0.7</v>
      </c>
      <c r="F85" s="5" t="str">
        <f>IFERROR(__xludf.DUMMYFUNCTION("""COMPUTED_VALUE"""),"both sexes")</f>
        <v>both sexes</v>
      </c>
      <c r="G85" s="5" t="str">
        <f>IFERROR(__xludf.DUMMYFUNCTION("""COMPUTED_VALUE"""),"25-34 years")</f>
        <v>25-34 years</v>
      </c>
      <c r="H85" s="9">
        <f t="shared" si="2"/>
        <v>0.7</v>
      </c>
      <c r="I85" s="5">
        <f t="shared" si="3"/>
        <v>4</v>
      </c>
      <c r="J85" s="5">
        <f t="shared" si="4"/>
        <v>41571428.57</v>
      </c>
    </row>
    <row r="86">
      <c r="A86" s="11">
        <v>15.0</v>
      </c>
      <c r="B86" s="5" t="str">
        <f>IFERROR(__xludf.DUMMYFUNCTION("""COMPUTED_VALUE"""),"Nephritis, nephrotic syndrome and nephrosis (N00-N07,N17-N19,N25-N27)")</f>
        <v>Nephritis, nephrotic syndrome and nephrosis (N00-N07,N17-N19,N25-N27)</v>
      </c>
      <c r="C86" s="8">
        <f>IFERROR(__xludf.DUMMYFUNCTION("""COMPUTED_VALUE"""),266.0)</f>
        <v>266</v>
      </c>
      <c r="D86" s="5">
        <f>IFERROR(__xludf.DUMMYFUNCTION("""COMPUTED_VALUE"""),0.6)</f>
        <v>0.6</v>
      </c>
      <c r="E86" s="9">
        <f>IFERROR(__xludf.DUMMYFUNCTION("""COMPUTED_VALUE"""),0.6)</f>
        <v>0.6</v>
      </c>
      <c r="F86" s="5" t="str">
        <f>IFERROR(__xludf.DUMMYFUNCTION("""COMPUTED_VALUE"""),"both sexes")</f>
        <v>both sexes</v>
      </c>
      <c r="G86" s="5" t="str">
        <f>IFERROR(__xludf.DUMMYFUNCTION("""COMPUTED_VALUE"""),"25-34 years")</f>
        <v>25-34 years</v>
      </c>
      <c r="H86" s="9">
        <f t="shared" si="2"/>
        <v>0.6</v>
      </c>
      <c r="I86" s="5">
        <f t="shared" si="3"/>
        <v>4</v>
      </c>
      <c r="J86" s="5">
        <f t="shared" si="4"/>
        <v>44333333.33</v>
      </c>
    </row>
    <row r="87">
      <c r="A87" s="7" t="s">
        <v>12</v>
      </c>
      <c r="B87" s="5" t="str">
        <f>IFERROR(__xludf.DUMMYFUNCTION("""COMPUTED_VALUE"""),"All other causes (Residual)")</f>
        <v>All other causes (Residual)</v>
      </c>
      <c r="C87" s="8">
        <f>IFERROR(__xludf.DUMMYFUNCTION("""COMPUTED_VALUE"""),7037.0)</f>
        <v>7037</v>
      </c>
      <c r="D87" s="5">
        <f>IFERROR(__xludf.DUMMYFUNCTION("""COMPUTED_VALUE"""),15.5)</f>
        <v>15.5</v>
      </c>
      <c r="E87" s="9">
        <f>IFERROR(__xludf.DUMMYFUNCTION("""COMPUTED_VALUE"""),16.4)</f>
        <v>16.4</v>
      </c>
      <c r="F87" s="5" t="str">
        <f>IFERROR(__xludf.DUMMYFUNCTION("""COMPUTED_VALUE"""),"both sexes")</f>
        <v>both sexes</v>
      </c>
      <c r="G87" s="5" t="str">
        <f>IFERROR(__xludf.DUMMYFUNCTION("""COMPUTED_VALUE"""),"25-34 years")</f>
        <v>25-34 years</v>
      </c>
      <c r="H87" s="9">
        <f t="shared" si="2"/>
        <v>16.4</v>
      </c>
      <c r="I87" s="5">
        <f t="shared" si="3"/>
        <v>4</v>
      </c>
      <c r="J87" s="5">
        <f t="shared" si="4"/>
        <v>42908536.59</v>
      </c>
    </row>
    <row r="88">
      <c r="A88" s="7" t="s">
        <v>12</v>
      </c>
      <c r="B88" s="5" t="str">
        <f>IFERROR(__xludf.DUMMYFUNCTION("""COMPUTED_VALUE"""),"All causes")</f>
        <v>All causes</v>
      </c>
      <c r="C88" s="8">
        <f>IFERROR(__xludf.DUMMYFUNCTION("""COMPUTED_VALUE"""),69573.0)</f>
        <v>69573</v>
      </c>
      <c r="D88" s="5">
        <f>IFERROR(__xludf.DUMMYFUNCTION("""COMPUTED_VALUE"""),100.0)</f>
        <v>100</v>
      </c>
      <c r="E88" s="9">
        <f>IFERROR(__xludf.DUMMYFUNCTION("""COMPUTED_VALUE"""),172.0)</f>
        <v>172</v>
      </c>
      <c r="F88" s="5" t="str">
        <f>IFERROR(__xludf.DUMMYFUNCTION("""COMPUTED_VALUE"""),"both sexes")</f>
        <v>both sexes</v>
      </c>
      <c r="G88" s="5" t="str">
        <f>IFERROR(__xludf.DUMMYFUNCTION("""COMPUTED_VALUE"""),"35-44 years")</f>
        <v>35-44 years</v>
      </c>
      <c r="H88" s="9">
        <f t="shared" si="2"/>
        <v>172</v>
      </c>
      <c r="I88" s="5">
        <f t="shared" si="3"/>
        <v>5</v>
      </c>
      <c r="J88" s="5">
        <f t="shared" si="4"/>
        <v>40449418.6</v>
      </c>
    </row>
    <row r="89">
      <c r="A89" s="11">
        <v>1.0</v>
      </c>
      <c r="B89" s="5" t="str">
        <f>IFERROR(__xludf.DUMMYFUNCTION("""COMPUTED_VALUE"""),"Accidents (unintentional injuries) (V01-X59,Y85-Y86)")</f>
        <v>Accidents (unintentional injuries) (V01-X59,Y85-Y86)</v>
      </c>
      <c r="C89" s="8">
        <f>IFERROR(__xludf.DUMMYFUNCTION("""COMPUTED_VALUE"""),15354.0)</f>
        <v>15354</v>
      </c>
      <c r="D89" s="5">
        <f>IFERROR(__xludf.DUMMYFUNCTION("""COMPUTED_VALUE"""),22.1)</f>
        <v>22.1</v>
      </c>
      <c r="E89" s="9">
        <f>IFERROR(__xludf.DUMMYFUNCTION("""COMPUTED_VALUE"""),38.0)</f>
        <v>38</v>
      </c>
      <c r="F89" s="5" t="str">
        <f>IFERROR(__xludf.DUMMYFUNCTION("""COMPUTED_VALUE"""),"both sexes")</f>
        <v>both sexes</v>
      </c>
      <c r="G89" s="5" t="str">
        <f>IFERROR(__xludf.DUMMYFUNCTION("""COMPUTED_VALUE"""),"35-44 years")</f>
        <v>35-44 years</v>
      </c>
      <c r="H89" s="9">
        <f t="shared" si="2"/>
        <v>38</v>
      </c>
      <c r="I89" s="5">
        <f t="shared" si="3"/>
        <v>5</v>
      </c>
      <c r="J89" s="5">
        <f t="shared" si="4"/>
        <v>40405263.16</v>
      </c>
    </row>
    <row r="90">
      <c r="A90" s="11">
        <v>2.0</v>
      </c>
      <c r="B90" s="5" t="str">
        <f>IFERROR(__xludf.DUMMYFUNCTION("""COMPUTED_VALUE"""),"Malignant neoplasms (C00-C97)")</f>
        <v>Malignant neoplasms (C00-C97)</v>
      </c>
      <c r="C90" s="8">
        <f>IFERROR(__xludf.DUMMYFUNCTION("""COMPUTED_VALUE"""),11349.0)</f>
        <v>11349</v>
      </c>
      <c r="D90" s="5">
        <f>IFERROR(__xludf.DUMMYFUNCTION("""COMPUTED_VALUE"""),16.3)</f>
        <v>16.3</v>
      </c>
      <c r="E90" s="9">
        <f>IFERROR(__xludf.DUMMYFUNCTION("""COMPUTED_VALUE"""),28.1)</f>
        <v>28.1</v>
      </c>
      <c r="F90" s="5" t="str">
        <f>IFERROR(__xludf.DUMMYFUNCTION("""COMPUTED_VALUE"""),"both sexes")</f>
        <v>both sexes</v>
      </c>
      <c r="G90" s="5" t="str">
        <f>IFERROR(__xludf.DUMMYFUNCTION("""COMPUTED_VALUE"""),"35-44 years")</f>
        <v>35-44 years</v>
      </c>
      <c r="H90" s="9">
        <f t="shared" si="2"/>
        <v>28.1</v>
      </c>
      <c r="I90" s="5">
        <f t="shared" si="3"/>
        <v>5</v>
      </c>
      <c r="J90" s="5">
        <f t="shared" si="4"/>
        <v>40387900.36</v>
      </c>
    </row>
    <row r="91">
      <c r="A91" s="11">
        <v>3.0</v>
      </c>
      <c r="B91" s="5" t="str">
        <f>IFERROR(__xludf.DUMMYFUNCTION("""COMPUTED_VALUE"""),"Diseases of heart (I00-I09,I11,I13,I20-I51)")</f>
        <v>Diseases of heart (I00-I09,I11,I13,I20-I51)</v>
      </c>
      <c r="C91" s="8">
        <f>IFERROR(__xludf.DUMMYFUNCTION("""COMPUTED_VALUE"""),10341.0)</f>
        <v>10341</v>
      </c>
      <c r="D91" s="5">
        <f>IFERROR(__xludf.DUMMYFUNCTION("""COMPUTED_VALUE"""),14.9)</f>
        <v>14.9</v>
      </c>
      <c r="E91" s="9">
        <f>IFERROR(__xludf.DUMMYFUNCTION("""COMPUTED_VALUE"""),25.6)</f>
        <v>25.6</v>
      </c>
      <c r="F91" s="5" t="str">
        <f>IFERROR(__xludf.DUMMYFUNCTION("""COMPUTED_VALUE"""),"both sexes")</f>
        <v>both sexes</v>
      </c>
      <c r="G91" s="5" t="str">
        <f>IFERROR(__xludf.DUMMYFUNCTION("""COMPUTED_VALUE"""),"35-44 years")</f>
        <v>35-44 years</v>
      </c>
      <c r="H91" s="9">
        <f t="shared" si="2"/>
        <v>25.6</v>
      </c>
      <c r="I91" s="5">
        <f t="shared" si="3"/>
        <v>5</v>
      </c>
      <c r="J91" s="5">
        <f t="shared" si="4"/>
        <v>40394531.25</v>
      </c>
    </row>
    <row r="92">
      <c r="A92" s="11">
        <v>4.0</v>
      </c>
      <c r="B92" s="5" t="str">
        <f>IFERROR(__xludf.DUMMYFUNCTION("""COMPUTED_VALUE"""),"Intentional self-harm (suicide) (*U03,X60-X84,Y87.0)")</f>
        <v>Intentional self-harm (suicide) (*U03,X60-X84,Y87.0)</v>
      </c>
      <c r="C92" s="8">
        <f>IFERROR(__xludf.DUMMYFUNCTION("""COMPUTED_VALUE"""),6551.0)</f>
        <v>6551</v>
      </c>
      <c r="D92" s="5">
        <f>IFERROR(__xludf.DUMMYFUNCTION("""COMPUTED_VALUE"""),9.4)</f>
        <v>9.4</v>
      </c>
      <c r="E92" s="9">
        <f>IFERROR(__xludf.DUMMYFUNCTION("""COMPUTED_VALUE"""),16.2)</f>
        <v>16.2</v>
      </c>
      <c r="F92" s="5" t="str">
        <f>IFERROR(__xludf.DUMMYFUNCTION("""COMPUTED_VALUE"""),"both sexes")</f>
        <v>both sexes</v>
      </c>
      <c r="G92" s="5" t="str">
        <f>IFERROR(__xludf.DUMMYFUNCTION("""COMPUTED_VALUE"""),"35-44 years")</f>
        <v>35-44 years</v>
      </c>
      <c r="H92" s="9">
        <f t="shared" si="2"/>
        <v>16.2</v>
      </c>
      <c r="I92" s="5">
        <f t="shared" si="3"/>
        <v>5</v>
      </c>
      <c r="J92" s="5">
        <f t="shared" si="4"/>
        <v>40438271.6</v>
      </c>
    </row>
    <row r="93">
      <c r="A93" s="11">
        <v>5.0</v>
      </c>
      <c r="B93" s="5" t="str">
        <f>IFERROR(__xludf.DUMMYFUNCTION("""COMPUTED_VALUE"""),"Assault (homicide) (*U01-*U02,X85-Y09,Y87.1)")</f>
        <v>Assault (homicide) (*U01-*U02,X85-Y09,Y87.1)</v>
      </c>
      <c r="C93" s="8">
        <f>IFERROR(__xludf.DUMMYFUNCTION("""COMPUTED_VALUE"""),2581.0)</f>
        <v>2581</v>
      </c>
      <c r="D93" s="5">
        <f>IFERROR(__xludf.DUMMYFUNCTION("""COMPUTED_VALUE"""),3.7)</f>
        <v>3.7</v>
      </c>
      <c r="E93" s="9">
        <f>IFERROR(__xludf.DUMMYFUNCTION("""COMPUTED_VALUE"""),6.4)</f>
        <v>6.4</v>
      </c>
      <c r="F93" s="5" t="str">
        <f>IFERROR(__xludf.DUMMYFUNCTION("""COMPUTED_VALUE"""),"both sexes")</f>
        <v>both sexes</v>
      </c>
      <c r="G93" s="5" t="str">
        <f>IFERROR(__xludf.DUMMYFUNCTION("""COMPUTED_VALUE"""),"35-44 years")</f>
        <v>35-44 years</v>
      </c>
      <c r="H93" s="9">
        <f t="shared" si="2"/>
        <v>6.4</v>
      </c>
      <c r="I93" s="5">
        <f t="shared" si="3"/>
        <v>5</v>
      </c>
      <c r="J93" s="5">
        <f t="shared" si="4"/>
        <v>40328125</v>
      </c>
    </row>
    <row r="94">
      <c r="A94" s="11">
        <v>6.0</v>
      </c>
      <c r="B94" s="5" t="str">
        <f>IFERROR(__xludf.DUMMYFUNCTION("""COMPUTED_VALUE"""),"Chronic liver disease and cirrhosis (K70,K73-K74)")</f>
        <v>Chronic liver disease and cirrhosis (K70,K73-K74)</v>
      </c>
      <c r="C94" s="8">
        <f>IFERROR(__xludf.DUMMYFUNCTION("""COMPUTED_VALUE"""),2491.0)</f>
        <v>2491</v>
      </c>
      <c r="D94" s="5">
        <f>IFERROR(__xludf.DUMMYFUNCTION("""COMPUTED_VALUE"""),3.6)</f>
        <v>3.6</v>
      </c>
      <c r="E94" s="9">
        <f>IFERROR(__xludf.DUMMYFUNCTION("""COMPUTED_VALUE"""),6.2)</f>
        <v>6.2</v>
      </c>
      <c r="F94" s="5" t="str">
        <f>IFERROR(__xludf.DUMMYFUNCTION("""COMPUTED_VALUE"""),"both sexes")</f>
        <v>both sexes</v>
      </c>
      <c r="G94" s="5" t="str">
        <f>IFERROR(__xludf.DUMMYFUNCTION("""COMPUTED_VALUE"""),"35-44 years")</f>
        <v>35-44 years</v>
      </c>
      <c r="H94" s="9">
        <f t="shared" si="2"/>
        <v>6.2</v>
      </c>
      <c r="I94" s="5">
        <f t="shared" si="3"/>
        <v>5</v>
      </c>
      <c r="J94" s="5">
        <f t="shared" si="4"/>
        <v>40177419.35</v>
      </c>
    </row>
    <row r="95">
      <c r="A95" s="11">
        <v>7.0</v>
      </c>
      <c r="B95" s="5" t="str">
        <f>IFERROR(__xludf.DUMMYFUNCTION("""COMPUTED_VALUE"""),"Diabetes mellitus (E10-E14)")</f>
        <v>Diabetes mellitus (E10-E14)</v>
      </c>
      <c r="C95" s="8">
        <f>IFERROR(__xludf.DUMMYFUNCTION("""COMPUTED_VALUE"""),1952.0)</f>
        <v>1952</v>
      </c>
      <c r="D95" s="5">
        <f>IFERROR(__xludf.DUMMYFUNCTION("""COMPUTED_VALUE"""),2.8)</f>
        <v>2.8</v>
      </c>
      <c r="E95" s="9">
        <f>IFERROR(__xludf.DUMMYFUNCTION("""COMPUTED_VALUE"""),4.8)</f>
        <v>4.8</v>
      </c>
      <c r="F95" s="5" t="str">
        <f>IFERROR(__xludf.DUMMYFUNCTION("""COMPUTED_VALUE"""),"both sexes")</f>
        <v>both sexes</v>
      </c>
      <c r="G95" s="5" t="str">
        <f>IFERROR(__xludf.DUMMYFUNCTION("""COMPUTED_VALUE"""),"35-44 years")</f>
        <v>35-44 years</v>
      </c>
      <c r="H95" s="9">
        <f t="shared" si="2"/>
        <v>4.8</v>
      </c>
      <c r="I95" s="5">
        <f t="shared" si="3"/>
        <v>5</v>
      </c>
      <c r="J95" s="5">
        <f t="shared" si="4"/>
        <v>40666666.67</v>
      </c>
    </row>
    <row r="96">
      <c r="A96" s="11">
        <v>8.0</v>
      </c>
      <c r="B96" s="5" t="str">
        <f>IFERROR(__xludf.DUMMYFUNCTION("""COMPUTED_VALUE"""),"Cerebrovascular diseases (I60-I69)")</f>
        <v>Cerebrovascular diseases (I60-I69)</v>
      </c>
      <c r="C96" s="8">
        <f>IFERROR(__xludf.DUMMYFUNCTION("""COMPUTED_VALUE"""),1687.0)</f>
        <v>1687</v>
      </c>
      <c r="D96" s="5">
        <f>IFERROR(__xludf.DUMMYFUNCTION("""COMPUTED_VALUE"""),2.4)</f>
        <v>2.4</v>
      </c>
      <c r="E96" s="9">
        <f>IFERROR(__xludf.DUMMYFUNCTION("""COMPUTED_VALUE"""),4.2)</f>
        <v>4.2</v>
      </c>
      <c r="F96" s="5" t="str">
        <f>IFERROR(__xludf.DUMMYFUNCTION("""COMPUTED_VALUE"""),"both sexes")</f>
        <v>both sexes</v>
      </c>
      <c r="G96" s="5" t="str">
        <f>IFERROR(__xludf.DUMMYFUNCTION("""COMPUTED_VALUE"""),"35-44 years")</f>
        <v>35-44 years</v>
      </c>
      <c r="H96" s="9">
        <f t="shared" si="2"/>
        <v>4.2</v>
      </c>
      <c r="I96" s="5">
        <f t="shared" si="3"/>
        <v>5</v>
      </c>
      <c r="J96" s="5">
        <f t="shared" si="4"/>
        <v>40166666.67</v>
      </c>
    </row>
    <row r="97">
      <c r="A97" s="11">
        <v>9.0</v>
      </c>
      <c r="B97" s="5" t="str">
        <f>IFERROR(__xludf.DUMMYFUNCTION("""COMPUTED_VALUE"""),"Human immunodeficiency virus (HIV) disease (B20-B24)")</f>
        <v>Human immunodeficiency virus (HIV) disease (B20-B24)</v>
      </c>
      <c r="C97" s="8">
        <f>IFERROR(__xludf.DUMMYFUNCTION("""COMPUTED_VALUE"""),1246.0)</f>
        <v>1246</v>
      </c>
      <c r="D97" s="5">
        <f>IFERROR(__xludf.DUMMYFUNCTION("""COMPUTED_VALUE"""),1.8)</f>
        <v>1.8</v>
      </c>
      <c r="E97" s="9">
        <f>IFERROR(__xludf.DUMMYFUNCTION("""COMPUTED_VALUE"""),3.1)</f>
        <v>3.1</v>
      </c>
      <c r="F97" s="5" t="str">
        <f>IFERROR(__xludf.DUMMYFUNCTION("""COMPUTED_VALUE"""),"both sexes")</f>
        <v>both sexes</v>
      </c>
      <c r="G97" s="5" t="str">
        <f>IFERROR(__xludf.DUMMYFUNCTION("""COMPUTED_VALUE"""),"35-44 years")</f>
        <v>35-44 years</v>
      </c>
      <c r="H97" s="9">
        <f t="shared" si="2"/>
        <v>3.1</v>
      </c>
      <c r="I97" s="5">
        <f t="shared" si="3"/>
        <v>5</v>
      </c>
      <c r="J97" s="5">
        <f t="shared" si="4"/>
        <v>40193548.39</v>
      </c>
    </row>
    <row r="98">
      <c r="A98" s="11">
        <v>10.0</v>
      </c>
      <c r="B98" s="5" t="str">
        <f>IFERROR(__xludf.DUMMYFUNCTION("""COMPUTED_VALUE"""),"Influenza and pneumonia (J09-J18)")</f>
        <v>Influenza and pneumonia (J09-J18)</v>
      </c>
      <c r="C98" s="8">
        <f>IFERROR(__xludf.DUMMYFUNCTION("""COMPUTED_VALUE"""),881.0)</f>
        <v>881</v>
      </c>
      <c r="D98" s="5">
        <f>IFERROR(__xludf.DUMMYFUNCTION("""COMPUTED_VALUE"""),1.3)</f>
        <v>1.3</v>
      </c>
      <c r="E98" s="9">
        <f>IFERROR(__xludf.DUMMYFUNCTION("""COMPUTED_VALUE"""),2.2)</f>
        <v>2.2</v>
      </c>
      <c r="F98" s="5" t="str">
        <f>IFERROR(__xludf.DUMMYFUNCTION("""COMPUTED_VALUE"""),"both sexes")</f>
        <v>both sexes</v>
      </c>
      <c r="G98" s="5" t="str">
        <f>IFERROR(__xludf.DUMMYFUNCTION("""COMPUTED_VALUE"""),"35-44 years")</f>
        <v>35-44 years</v>
      </c>
      <c r="H98" s="9">
        <f t="shared" si="2"/>
        <v>2.2</v>
      </c>
      <c r="I98" s="5">
        <f t="shared" si="3"/>
        <v>5</v>
      </c>
      <c r="J98" s="5">
        <f t="shared" si="4"/>
        <v>40045454.55</v>
      </c>
    </row>
    <row r="99">
      <c r="A99" s="11">
        <v>11.0</v>
      </c>
      <c r="B99" s="5" t="str">
        <f>IFERROR(__xludf.DUMMYFUNCTION("""COMPUTED_VALUE"""),"Septicemia (A40-A41)")</f>
        <v>Septicemia (A40-A41)</v>
      </c>
      <c r="C99" s="8">
        <f>IFERROR(__xludf.DUMMYFUNCTION("""COMPUTED_VALUE"""),820.0)</f>
        <v>820</v>
      </c>
      <c r="D99" s="5">
        <f>IFERROR(__xludf.DUMMYFUNCTION("""COMPUTED_VALUE"""),1.2)</f>
        <v>1.2</v>
      </c>
      <c r="E99" s="9">
        <f>IFERROR(__xludf.DUMMYFUNCTION("""COMPUTED_VALUE"""),2.0)</f>
        <v>2</v>
      </c>
      <c r="F99" s="5" t="str">
        <f>IFERROR(__xludf.DUMMYFUNCTION("""COMPUTED_VALUE"""),"both sexes")</f>
        <v>both sexes</v>
      </c>
      <c r="G99" s="5" t="str">
        <f>IFERROR(__xludf.DUMMYFUNCTION("""COMPUTED_VALUE"""),"35-44 years")</f>
        <v>35-44 years</v>
      </c>
      <c r="H99" s="9">
        <f t="shared" si="2"/>
        <v>2</v>
      </c>
      <c r="I99" s="5">
        <f t="shared" si="3"/>
        <v>5</v>
      </c>
      <c r="J99" s="5">
        <f t="shared" si="4"/>
        <v>41000000</v>
      </c>
    </row>
    <row r="100">
      <c r="A100" s="11">
        <v>12.0</v>
      </c>
      <c r="B100" s="5" t="str">
        <f>IFERROR(__xludf.DUMMYFUNCTION("""COMPUTED_VALUE"""),"Chronic lower respiratory diseases (J40-J47)")</f>
        <v>Chronic lower respiratory diseases (J40-J47)</v>
      </c>
      <c r="C100" s="8">
        <f>IFERROR(__xludf.DUMMYFUNCTION("""COMPUTED_VALUE"""),760.0)</f>
        <v>760</v>
      </c>
      <c r="D100" s="5">
        <f>IFERROR(__xludf.DUMMYFUNCTION("""COMPUTED_VALUE"""),1.1)</f>
        <v>1.1</v>
      </c>
      <c r="E100" s="9">
        <f>IFERROR(__xludf.DUMMYFUNCTION("""COMPUTED_VALUE"""),1.9)</f>
        <v>1.9</v>
      </c>
      <c r="F100" s="5" t="str">
        <f>IFERROR(__xludf.DUMMYFUNCTION("""COMPUTED_VALUE"""),"both sexes")</f>
        <v>both sexes</v>
      </c>
      <c r="G100" s="5" t="str">
        <f>IFERROR(__xludf.DUMMYFUNCTION("""COMPUTED_VALUE"""),"35-44 years")</f>
        <v>35-44 years</v>
      </c>
      <c r="H100" s="9">
        <f t="shared" si="2"/>
        <v>1.9</v>
      </c>
      <c r="I100" s="5">
        <f t="shared" si="3"/>
        <v>5</v>
      </c>
      <c r="J100" s="5">
        <f t="shared" si="4"/>
        <v>40000000</v>
      </c>
    </row>
    <row r="101">
      <c r="A101" s="11">
        <v>13.0</v>
      </c>
      <c r="B101" s="5" t="str">
        <f>IFERROR(__xludf.DUMMYFUNCTION("""COMPUTED_VALUE"""),"Nephritis, nephrotic syndrome and nephrosis (N00-N07,N17-N19,N25-N27)")</f>
        <v>Nephritis, nephrotic syndrome and nephrosis (N00-N07,N17-N19,N25-N27)</v>
      </c>
      <c r="C101" s="8">
        <f>IFERROR(__xludf.DUMMYFUNCTION("""COMPUTED_VALUE"""),627.0)</f>
        <v>627</v>
      </c>
      <c r="D101" s="5">
        <f>IFERROR(__xludf.DUMMYFUNCTION("""COMPUTED_VALUE"""),0.9)</f>
        <v>0.9</v>
      </c>
      <c r="E101" s="9">
        <f>IFERROR(__xludf.DUMMYFUNCTION("""COMPUTED_VALUE"""),1.5)</f>
        <v>1.5</v>
      </c>
      <c r="F101" s="5" t="str">
        <f>IFERROR(__xludf.DUMMYFUNCTION("""COMPUTED_VALUE"""),"both sexes")</f>
        <v>both sexes</v>
      </c>
      <c r="G101" s="5" t="str">
        <f>IFERROR(__xludf.DUMMYFUNCTION("""COMPUTED_VALUE"""),"35-44 years")</f>
        <v>35-44 years</v>
      </c>
      <c r="H101" s="9">
        <f t="shared" si="2"/>
        <v>1.5</v>
      </c>
      <c r="I101" s="5">
        <f t="shared" si="3"/>
        <v>5</v>
      </c>
      <c r="J101" s="5">
        <f t="shared" si="4"/>
        <v>41800000</v>
      </c>
    </row>
    <row r="102">
      <c r="A102" s="11">
        <v>14.0</v>
      </c>
      <c r="B102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102" s="8">
        <f>IFERROR(__xludf.DUMMYFUNCTION("""COMPUTED_VALUE"""),441.0)</f>
        <v>441</v>
      </c>
      <c r="D102" s="5">
        <f>IFERROR(__xludf.DUMMYFUNCTION("""COMPUTED_VALUE"""),0.6)</f>
        <v>0.6</v>
      </c>
      <c r="E102" s="9">
        <f>IFERROR(__xludf.DUMMYFUNCTION("""COMPUTED_VALUE"""),1.1)</f>
        <v>1.1</v>
      </c>
      <c r="F102" s="5" t="str">
        <f>IFERROR(__xludf.DUMMYFUNCTION("""COMPUTED_VALUE"""),"both sexes")</f>
        <v>both sexes</v>
      </c>
      <c r="G102" s="5" t="str">
        <f>IFERROR(__xludf.DUMMYFUNCTION("""COMPUTED_VALUE"""),"35-44 years")</f>
        <v>35-44 years</v>
      </c>
      <c r="H102" s="9">
        <f t="shared" si="2"/>
        <v>1.1</v>
      </c>
      <c r="I102" s="5">
        <f t="shared" si="3"/>
        <v>5</v>
      </c>
      <c r="J102" s="5">
        <f t="shared" si="4"/>
        <v>40090909.09</v>
      </c>
    </row>
    <row r="103">
      <c r="A103" s="11">
        <v>15.0</v>
      </c>
      <c r="B103" s="5" t="str">
        <f>IFERROR(__xludf.DUMMYFUNCTION("""COMPUTED_VALUE"""),"Essential hypertension and hypertensive renal disease (I10,I12,I15)")</f>
        <v>Essential hypertension and hypertensive renal disease (I10,I12,I15)</v>
      </c>
      <c r="C103" s="8">
        <f>IFERROR(__xludf.DUMMYFUNCTION("""COMPUTED_VALUE"""),409.0)</f>
        <v>409</v>
      </c>
      <c r="D103" s="5">
        <f>IFERROR(__xludf.DUMMYFUNCTION("""COMPUTED_VALUE"""),0.6)</f>
        <v>0.6</v>
      </c>
      <c r="E103" s="9">
        <f>IFERROR(__xludf.DUMMYFUNCTION("""COMPUTED_VALUE"""),1.0)</f>
        <v>1</v>
      </c>
      <c r="F103" s="5" t="str">
        <f>IFERROR(__xludf.DUMMYFUNCTION("""COMPUTED_VALUE"""),"both sexes")</f>
        <v>both sexes</v>
      </c>
      <c r="G103" s="5" t="str">
        <f>IFERROR(__xludf.DUMMYFUNCTION("""COMPUTED_VALUE"""),"35-44 years")</f>
        <v>35-44 years</v>
      </c>
      <c r="H103" s="9">
        <f t="shared" si="2"/>
        <v>1</v>
      </c>
      <c r="I103" s="5">
        <f t="shared" si="3"/>
        <v>5</v>
      </c>
      <c r="J103" s="5">
        <f t="shared" si="4"/>
        <v>40900000</v>
      </c>
    </row>
    <row r="104">
      <c r="A104" s="7" t="s">
        <v>12</v>
      </c>
      <c r="B104" s="5" t="str">
        <f>IFERROR(__xludf.DUMMYFUNCTION("""COMPUTED_VALUE"""),"All other causes (Residual)")</f>
        <v>All other causes (Residual)</v>
      </c>
      <c r="C104" s="8">
        <f>IFERROR(__xludf.DUMMYFUNCTION("""COMPUTED_VALUE"""),12083.0)</f>
        <v>12083</v>
      </c>
      <c r="D104" s="5">
        <f>IFERROR(__xludf.DUMMYFUNCTION("""COMPUTED_VALUE"""),17.4)</f>
        <v>17.4</v>
      </c>
      <c r="E104" s="9">
        <f>IFERROR(__xludf.DUMMYFUNCTION("""COMPUTED_VALUE"""),29.9)</f>
        <v>29.9</v>
      </c>
      <c r="F104" s="5" t="str">
        <f>IFERROR(__xludf.DUMMYFUNCTION("""COMPUTED_VALUE"""),"both sexes")</f>
        <v>both sexes</v>
      </c>
      <c r="G104" s="5" t="str">
        <f>IFERROR(__xludf.DUMMYFUNCTION("""COMPUTED_VALUE"""),"35-44 years")</f>
        <v>35-44 years</v>
      </c>
      <c r="H104" s="9">
        <f t="shared" si="2"/>
        <v>29.9</v>
      </c>
      <c r="I104" s="5">
        <f t="shared" si="3"/>
        <v>5</v>
      </c>
      <c r="J104" s="5">
        <f t="shared" si="4"/>
        <v>40411371.24</v>
      </c>
    </row>
    <row r="105">
      <c r="A105" s="7" t="s">
        <v>12</v>
      </c>
      <c r="B105" s="5" t="str">
        <f>IFERROR(__xludf.DUMMYFUNCTION("""COMPUTED_VALUE"""),"All causes")</f>
        <v>All causes</v>
      </c>
      <c r="C105" s="8">
        <f>IFERROR(__xludf.DUMMYFUNCTION("""COMPUTED_VALUE"""),177724.0)</f>
        <v>177724</v>
      </c>
      <c r="D105" s="5">
        <f>IFERROR(__xludf.DUMMYFUNCTION("""COMPUTED_VALUE"""),100.0)</f>
        <v>100</v>
      </c>
      <c r="E105" s="9">
        <f>IFERROR(__xludf.DUMMYFUNCTION("""COMPUTED_VALUE"""),406.1)</f>
        <v>406.1</v>
      </c>
      <c r="F105" s="5" t="str">
        <f>IFERROR(__xludf.DUMMYFUNCTION("""COMPUTED_VALUE"""),"both sexes")</f>
        <v>both sexes</v>
      </c>
      <c r="G105" s="5" t="str">
        <f>IFERROR(__xludf.DUMMYFUNCTION("""COMPUTED_VALUE"""),"45-54 years")</f>
        <v>45-54 years</v>
      </c>
      <c r="H105" s="9">
        <f t="shared" si="2"/>
        <v>406.1</v>
      </c>
      <c r="I105" s="5">
        <f t="shared" si="3"/>
        <v>6</v>
      </c>
      <c r="J105" s="5">
        <f t="shared" si="4"/>
        <v>43763605.02</v>
      </c>
    </row>
    <row r="106">
      <c r="A106" s="11">
        <v>1.0</v>
      </c>
      <c r="B106" s="5" t="str">
        <f>IFERROR(__xludf.DUMMYFUNCTION("""COMPUTED_VALUE"""),"Malignant neoplasms (C00-C97)")</f>
        <v>Malignant neoplasms (C00-C97)</v>
      </c>
      <c r="C106" s="8">
        <f>IFERROR(__xludf.DUMMYFUNCTION("""COMPUTED_VALUE"""),46185.0)</f>
        <v>46185</v>
      </c>
      <c r="D106" s="5">
        <f>IFERROR(__xludf.DUMMYFUNCTION("""COMPUTED_VALUE"""),26.0)</f>
        <v>26</v>
      </c>
      <c r="E106" s="9">
        <f>IFERROR(__xludf.DUMMYFUNCTION("""COMPUTED_VALUE"""),105.5)</f>
        <v>105.5</v>
      </c>
      <c r="F106" s="5" t="str">
        <f>IFERROR(__xludf.DUMMYFUNCTION("""COMPUTED_VALUE"""),"both sexes")</f>
        <v>both sexes</v>
      </c>
      <c r="G106" s="5" t="str">
        <f>IFERROR(__xludf.DUMMYFUNCTION("""COMPUTED_VALUE"""),"45-54 years")</f>
        <v>45-54 years</v>
      </c>
      <c r="H106" s="9">
        <f t="shared" si="2"/>
        <v>105.5</v>
      </c>
      <c r="I106" s="5">
        <f t="shared" si="3"/>
        <v>6</v>
      </c>
      <c r="J106" s="5">
        <f t="shared" si="4"/>
        <v>43777251.18</v>
      </c>
    </row>
    <row r="107">
      <c r="A107" s="11">
        <v>2.0</v>
      </c>
      <c r="B107" s="5" t="str">
        <f>IFERROR(__xludf.DUMMYFUNCTION("""COMPUTED_VALUE"""),"Diseases of heart (I00-I09,I11,I13,I20-I51)")</f>
        <v>Diseases of heart (I00-I09,I11,I13,I20-I51)</v>
      </c>
      <c r="C107" s="8">
        <f>IFERROR(__xludf.DUMMYFUNCTION("""COMPUTED_VALUE"""),35167.0)</f>
        <v>35167</v>
      </c>
      <c r="D107" s="5">
        <f>IFERROR(__xludf.DUMMYFUNCTION("""COMPUTED_VALUE"""),19.8)</f>
        <v>19.8</v>
      </c>
      <c r="E107" s="9">
        <f>IFERROR(__xludf.DUMMYFUNCTION("""COMPUTED_VALUE"""),80.3)</f>
        <v>80.3</v>
      </c>
      <c r="F107" s="5" t="str">
        <f>IFERROR(__xludf.DUMMYFUNCTION("""COMPUTED_VALUE"""),"both sexes")</f>
        <v>both sexes</v>
      </c>
      <c r="G107" s="5" t="str">
        <f>IFERROR(__xludf.DUMMYFUNCTION("""COMPUTED_VALUE"""),"45-54 years")</f>
        <v>45-54 years</v>
      </c>
      <c r="H107" s="9">
        <f t="shared" si="2"/>
        <v>80.3</v>
      </c>
      <c r="I107" s="5">
        <f t="shared" si="3"/>
        <v>6</v>
      </c>
      <c r="J107" s="5">
        <f t="shared" si="4"/>
        <v>43794520.55</v>
      </c>
    </row>
    <row r="108">
      <c r="A108" s="11">
        <v>3.0</v>
      </c>
      <c r="B108" s="5" t="str">
        <f>IFERROR(__xludf.DUMMYFUNCTION("""COMPUTED_VALUE"""),"Accidents (unintentional injuries) (V01-X59,Y85-Y86)")</f>
        <v>Accidents (unintentional injuries) (V01-X59,Y85-Y86)</v>
      </c>
      <c r="C108" s="8">
        <f>IFERROR(__xludf.DUMMYFUNCTION("""COMPUTED_VALUE"""),20357.0)</f>
        <v>20357</v>
      </c>
      <c r="D108" s="5">
        <f>IFERROR(__xludf.DUMMYFUNCTION("""COMPUTED_VALUE"""),11.5)</f>
        <v>11.5</v>
      </c>
      <c r="E108" s="9">
        <f>IFERROR(__xludf.DUMMYFUNCTION("""COMPUTED_VALUE"""),46.5)</f>
        <v>46.5</v>
      </c>
      <c r="F108" s="5" t="str">
        <f>IFERROR(__xludf.DUMMYFUNCTION("""COMPUTED_VALUE"""),"both sexes")</f>
        <v>both sexes</v>
      </c>
      <c r="G108" s="5" t="str">
        <f>IFERROR(__xludf.DUMMYFUNCTION("""COMPUTED_VALUE"""),"45-54 years")</f>
        <v>45-54 years</v>
      </c>
      <c r="H108" s="9">
        <f t="shared" si="2"/>
        <v>46.5</v>
      </c>
      <c r="I108" s="5">
        <f t="shared" si="3"/>
        <v>6</v>
      </c>
      <c r="J108" s="5">
        <f t="shared" si="4"/>
        <v>43778494.62</v>
      </c>
    </row>
    <row r="109">
      <c r="A109" s="11">
        <v>4.0</v>
      </c>
      <c r="B109" s="5" t="str">
        <f>IFERROR(__xludf.DUMMYFUNCTION("""COMPUTED_VALUE"""),"Chronic liver disease and cirrhosis (K70,K73-K74)")</f>
        <v>Chronic liver disease and cirrhosis (K70,K73-K74)</v>
      </c>
      <c r="C109" s="8">
        <f>IFERROR(__xludf.DUMMYFUNCTION("""COMPUTED_VALUE"""),8785.0)</f>
        <v>8785</v>
      </c>
      <c r="D109" s="5">
        <f>IFERROR(__xludf.DUMMYFUNCTION("""COMPUTED_VALUE"""),4.9)</f>
        <v>4.9</v>
      </c>
      <c r="E109" s="9">
        <f>IFERROR(__xludf.DUMMYFUNCTION("""COMPUTED_VALUE"""),20.1)</f>
        <v>20.1</v>
      </c>
      <c r="F109" s="5" t="str">
        <f>IFERROR(__xludf.DUMMYFUNCTION("""COMPUTED_VALUE"""),"both sexes")</f>
        <v>both sexes</v>
      </c>
      <c r="G109" s="5" t="str">
        <f>IFERROR(__xludf.DUMMYFUNCTION("""COMPUTED_VALUE"""),"45-54 years")</f>
        <v>45-54 years</v>
      </c>
      <c r="H109" s="9">
        <f t="shared" si="2"/>
        <v>20.1</v>
      </c>
      <c r="I109" s="5">
        <f t="shared" si="3"/>
        <v>6</v>
      </c>
      <c r="J109" s="5">
        <f t="shared" si="4"/>
        <v>43706467.66</v>
      </c>
    </row>
    <row r="110">
      <c r="A110" s="11">
        <v>5.0</v>
      </c>
      <c r="B110" s="5" t="str">
        <f>IFERROR(__xludf.DUMMYFUNCTION("""COMPUTED_VALUE"""),"Intentional self-harm (suicide) (*U03,X60-X84,Y87.0)")</f>
        <v>Intentional self-harm (suicide) (*U03,X60-X84,Y87.0)</v>
      </c>
      <c r="C110" s="8">
        <f>IFERROR(__xludf.DUMMYFUNCTION("""COMPUTED_VALUE"""),8621.0)</f>
        <v>8621</v>
      </c>
      <c r="D110" s="5">
        <f>IFERROR(__xludf.DUMMYFUNCTION("""COMPUTED_VALUE"""),4.9)</f>
        <v>4.9</v>
      </c>
      <c r="E110" s="9">
        <f>IFERROR(__xludf.DUMMYFUNCTION("""COMPUTED_VALUE"""),19.7)</f>
        <v>19.7</v>
      </c>
      <c r="F110" s="5" t="str">
        <f>IFERROR(__xludf.DUMMYFUNCTION("""COMPUTED_VALUE"""),"both sexes")</f>
        <v>both sexes</v>
      </c>
      <c r="G110" s="5" t="str">
        <f>IFERROR(__xludf.DUMMYFUNCTION("""COMPUTED_VALUE"""),"45-54 years")</f>
        <v>45-54 years</v>
      </c>
      <c r="H110" s="9">
        <f t="shared" si="2"/>
        <v>19.7</v>
      </c>
      <c r="I110" s="5">
        <f t="shared" si="3"/>
        <v>6</v>
      </c>
      <c r="J110" s="5">
        <f t="shared" si="4"/>
        <v>43761421.32</v>
      </c>
    </row>
    <row r="111">
      <c r="A111" s="11">
        <v>6.0</v>
      </c>
      <c r="B111" s="5" t="str">
        <f>IFERROR(__xludf.DUMMYFUNCTION("""COMPUTED_VALUE"""),"Diabetes mellitus (E10-E14)")</f>
        <v>Diabetes mellitus (E10-E14)</v>
      </c>
      <c r="C111" s="8">
        <f>IFERROR(__xludf.DUMMYFUNCTION("""COMPUTED_VALUE"""),5899.0)</f>
        <v>5899</v>
      </c>
      <c r="D111" s="5">
        <f>IFERROR(__xludf.DUMMYFUNCTION("""COMPUTED_VALUE"""),3.3)</f>
        <v>3.3</v>
      </c>
      <c r="E111" s="9">
        <f>IFERROR(__xludf.DUMMYFUNCTION("""COMPUTED_VALUE"""),13.5)</f>
        <v>13.5</v>
      </c>
      <c r="F111" s="5" t="str">
        <f>IFERROR(__xludf.DUMMYFUNCTION("""COMPUTED_VALUE"""),"both sexes")</f>
        <v>both sexes</v>
      </c>
      <c r="G111" s="5" t="str">
        <f>IFERROR(__xludf.DUMMYFUNCTION("""COMPUTED_VALUE"""),"45-54 years")</f>
        <v>45-54 years</v>
      </c>
      <c r="H111" s="9">
        <f t="shared" si="2"/>
        <v>13.5</v>
      </c>
      <c r="I111" s="5">
        <f t="shared" si="3"/>
        <v>6</v>
      </c>
      <c r="J111" s="5">
        <f t="shared" si="4"/>
        <v>43696296.3</v>
      </c>
    </row>
    <row r="112">
      <c r="A112" s="11">
        <v>7.0</v>
      </c>
      <c r="B112" s="5" t="str">
        <f>IFERROR(__xludf.DUMMYFUNCTION("""COMPUTED_VALUE"""),"Cerebrovascular diseases (I60-I69)")</f>
        <v>Cerebrovascular diseases (I60-I69)</v>
      </c>
      <c r="C112" s="8">
        <f>IFERROR(__xludf.DUMMYFUNCTION("""COMPUTED_VALUE"""),5425.0)</f>
        <v>5425</v>
      </c>
      <c r="D112" s="5">
        <f>IFERROR(__xludf.DUMMYFUNCTION("""COMPUTED_VALUE"""),3.1)</f>
        <v>3.1</v>
      </c>
      <c r="E112" s="9">
        <f>IFERROR(__xludf.DUMMYFUNCTION("""COMPUTED_VALUE"""),12.4)</f>
        <v>12.4</v>
      </c>
      <c r="F112" s="5" t="str">
        <f>IFERROR(__xludf.DUMMYFUNCTION("""COMPUTED_VALUE"""),"both sexes")</f>
        <v>both sexes</v>
      </c>
      <c r="G112" s="5" t="str">
        <f>IFERROR(__xludf.DUMMYFUNCTION("""COMPUTED_VALUE"""),"45-54 years")</f>
        <v>45-54 years</v>
      </c>
      <c r="H112" s="9">
        <f t="shared" si="2"/>
        <v>12.4</v>
      </c>
      <c r="I112" s="5">
        <f t="shared" si="3"/>
        <v>6</v>
      </c>
      <c r="J112" s="5">
        <f t="shared" si="4"/>
        <v>43750000</v>
      </c>
    </row>
    <row r="113">
      <c r="A113" s="11">
        <v>8.0</v>
      </c>
      <c r="B113" s="5" t="str">
        <f>IFERROR(__xludf.DUMMYFUNCTION("""COMPUTED_VALUE"""),"Chronic lower respiratory diseases (J40-J47)")</f>
        <v>Chronic lower respiratory diseases (J40-J47)</v>
      </c>
      <c r="C113" s="8">
        <f>IFERROR(__xludf.DUMMYFUNCTION("""COMPUTED_VALUE"""),4619.0)</f>
        <v>4619</v>
      </c>
      <c r="D113" s="5">
        <f>IFERROR(__xludf.DUMMYFUNCTION("""COMPUTED_VALUE"""),2.6)</f>
        <v>2.6</v>
      </c>
      <c r="E113" s="9">
        <f>IFERROR(__xludf.DUMMYFUNCTION("""COMPUTED_VALUE"""),10.6)</f>
        <v>10.6</v>
      </c>
      <c r="F113" s="5" t="str">
        <f>IFERROR(__xludf.DUMMYFUNCTION("""COMPUTED_VALUE"""),"both sexes")</f>
        <v>both sexes</v>
      </c>
      <c r="G113" s="5" t="str">
        <f>IFERROR(__xludf.DUMMYFUNCTION("""COMPUTED_VALUE"""),"45-54 years")</f>
        <v>45-54 years</v>
      </c>
      <c r="H113" s="9">
        <f t="shared" si="2"/>
        <v>10.6</v>
      </c>
      <c r="I113" s="5">
        <f t="shared" si="3"/>
        <v>6</v>
      </c>
      <c r="J113" s="5">
        <f t="shared" si="4"/>
        <v>43575471.7</v>
      </c>
    </row>
    <row r="114">
      <c r="A114" s="11">
        <v>9.0</v>
      </c>
      <c r="B114" s="5" t="str">
        <f>IFERROR(__xludf.DUMMYFUNCTION("""COMPUTED_VALUE"""),"Septicemia (A40-A41)")</f>
        <v>Septicemia (A40-A41)</v>
      </c>
      <c r="C114" s="8">
        <f>IFERROR(__xludf.DUMMYFUNCTION("""COMPUTED_VALUE"""),2445.0)</f>
        <v>2445</v>
      </c>
      <c r="D114" s="5">
        <f>IFERROR(__xludf.DUMMYFUNCTION("""COMPUTED_VALUE"""),1.4)</f>
        <v>1.4</v>
      </c>
      <c r="E114" s="9">
        <f>IFERROR(__xludf.DUMMYFUNCTION("""COMPUTED_VALUE"""),5.6)</f>
        <v>5.6</v>
      </c>
      <c r="F114" s="5" t="str">
        <f>IFERROR(__xludf.DUMMYFUNCTION("""COMPUTED_VALUE"""),"both sexes")</f>
        <v>both sexes</v>
      </c>
      <c r="G114" s="5" t="str">
        <f>IFERROR(__xludf.DUMMYFUNCTION("""COMPUTED_VALUE"""),"45-54 years")</f>
        <v>45-54 years</v>
      </c>
      <c r="H114" s="9">
        <f t="shared" si="2"/>
        <v>5.6</v>
      </c>
      <c r="I114" s="5">
        <f t="shared" si="3"/>
        <v>6</v>
      </c>
      <c r="J114" s="5">
        <f t="shared" si="4"/>
        <v>43660714.29</v>
      </c>
    </row>
    <row r="115">
      <c r="A115" s="11">
        <v>10.0</v>
      </c>
      <c r="B115" s="5" t="str">
        <f>IFERROR(__xludf.DUMMYFUNCTION("""COMPUTED_VALUE"""),"Human immunodeficiency virus (HIV) disease (B20-B24)")</f>
        <v>Human immunodeficiency virus (HIV) disease (B20-B24)</v>
      </c>
      <c r="C115" s="8">
        <f>IFERROR(__xludf.DUMMYFUNCTION("""COMPUTED_VALUE"""),2378.0)</f>
        <v>2378</v>
      </c>
      <c r="D115" s="5">
        <f>IFERROR(__xludf.DUMMYFUNCTION("""COMPUTED_VALUE"""),1.3)</f>
        <v>1.3</v>
      </c>
      <c r="E115" s="9">
        <f>IFERROR(__xludf.DUMMYFUNCTION("""COMPUTED_VALUE"""),5.4)</f>
        <v>5.4</v>
      </c>
      <c r="F115" s="5" t="str">
        <f>IFERROR(__xludf.DUMMYFUNCTION("""COMPUTED_VALUE"""),"both sexes")</f>
        <v>both sexes</v>
      </c>
      <c r="G115" s="5" t="str">
        <f>IFERROR(__xludf.DUMMYFUNCTION("""COMPUTED_VALUE"""),"45-54 years")</f>
        <v>45-54 years</v>
      </c>
      <c r="H115" s="9">
        <f t="shared" si="2"/>
        <v>5.4</v>
      </c>
      <c r="I115" s="5">
        <f t="shared" si="3"/>
        <v>6</v>
      </c>
      <c r="J115" s="5">
        <f t="shared" si="4"/>
        <v>44037037.04</v>
      </c>
    </row>
    <row r="116">
      <c r="A116" s="11">
        <v>11.0</v>
      </c>
      <c r="B116" s="5" t="str">
        <f>IFERROR(__xludf.DUMMYFUNCTION("""COMPUTED_VALUE"""),"Influenza and pneumonia (J09-J18)")</f>
        <v>Influenza and pneumonia (J09-J18)</v>
      </c>
      <c r="C116" s="8">
        <f>IFERROR(__xludf.DUMMYFUNCTION("""COMPUTED_VALUE"""),2233.0)</f>
        <v>2233</v>
      </c>
      <c r="D116" s="5">
        <f>IFERROR(__xludf.DUMMYFUNCTION("""COMPUTED_VALUE"""),1.3)</f>
        <v>1.3</v>
      </c>
      <c r="E116" s="9">
        <f>IFERROR(__xludf.DUMMYFUNCTION("""COMPUTED_VALUE"""),5.1)</f>
        <v>5.1</v>
      </c>
      <c r="F116" s="5" t="str">
        <f>IFERROR(__xludf.DUMMYFUNCTION("""COMPUTED_VALUE"""),"both sexes")</f>
        <v>both sexes</v>
      </c>
      <c r="G116" s="5" t="str">
        <f>IFERROR(__xludf.DUMMYFUNCTION("""COMPUTED_VALUE"""),"45-54 years")</f>
        <v>45-54 years</v>
      </c>
      <c r="H116" s="9">
        <f t="shared" si="2"/>
        <v>5.1</v>
      </c>
      <c r="I116" s="5">
        <f t="shared" si="3"/>
        <v>6</v>
      </c>
      <c r="J116" s="5">
        <f t="shared" si="4"/>
        <v>43784313.73</v>
      </c>
    </row>
    <row r="117">
      <c r="A117" s="11">
        <v>12.0</v>
      </c>
      <c r="B117" s="5" t="str">
        <f>IFERROR(__xludf.DUMMYFUNCTION("""COMPUTED_VALUE"""),"Nephritis, nephrotic syndrome and nephrosis (N00-N07,N17-N19,N25-N27)")</f>
        <v>Nephritis, nephrotic syndrome and nephrosis (N00-N07,N17-N19,N25-N27)</v>
      </c>
      <c r="C117" s="8">
        <f>IFERROR(__xludf.DUMMYFUNCTION("""COMPUTED_VALUE"""),2025.0)</f>
        <v>2025</v>
      </c>
      <c r="D117" s="5">
        <f>IFERROR(__xludf.DUMMYFUNCTION("""COMPUTED_VALUE"""),1.1)</f>
        <v>1.1</v>
      </c>
      <c r="E117" s="9">
        <f>IFERROR(__xludf.DUMMYFUNCTION("""COMPUTED_VALUE"""),4.6)</f>
        <v>4.6</v>
      </c>
      <c r="F117" s="5" t="str">
        <f>IFERROR(__xludf.DUMMYFUNCTION("""COMPUTED_VALUE"""),"both sexes")</f>
        <v>both sexes</v>
      </c>
      <c r="G117" s="5" t="str">
        <f>IFERROR(__xludf.DUMMYFUNCTION("""COMPUTED_VALUE"""),"45-54 years")</f>
        <v>45-54 years</v>
      </c>
      <c r="H117" s="9">
        <f t="shared" si="2"/>
        <v>4.6</v>
      </c>
      <c r="I117" s="5">
        <f t="shared" si="3"/>
        <v>6</v>
      </c>
      <c r="J117" s="5">
        <f t="shared" si="4"/>
        <v>44021739.13</v>
      </c>
    </row>
    <row r="118">
      <c r="A118" s="11">
        <v>13.0</v>
      </c>
      <c r="B118" s="5" t="str">
        <f>IFERROR(__xludf.DUMMYFUNCTION("""COMPUTED_VALUE"""),"Assault (homicide) (*U01-*U02,X85-Y09,Y87.1)")</f>
        <v>Assault (homicide) (*U01-*U02,X85-Y09,Y87.1)</v>
      </c>
      <c r="C118" s="8">
        <f>IFERROR(__xludf.DUMMYFUNCTION("""COMPUTED_VALUE"""),1989.0)</f>
        <v>1989</v>
      </c>
      <c r="D118" s="5">
        <f>IFERROR(__xludf.DUMMYFUNCTION("""COMPUTED_VALUE"""),1.1)</f>
        <v>1.1</v>
      </c>
      <c r="E118" s="9">
        <f>IFERROR(__xludf.DUMMYFUNCTION("""COMPUTED_VALUE"""),4.5)</f>
        <v>4.5</v>
      </c>
      <c r="F118" s="5" t="str">
        <f>IFERROR(__xludf.DUMMYFUNCTION("""COMPUTED_VALUE"""),"both sexes")</f>
        <v>both sexes</v>
      </c>
      <c r="G118" s="5" t="str">
        <f>IFERROR(__xludf.DUMMYFUNCTION("""COMPUTED_VALUE"""),"45-54 years")</f>
        <v>45-54 years</v>
      </c>
      <c r="H118" s="9">
        <f t="shared" si="2"/>
        <v>4.5</v>
      </c>
      <c r="I118" s="5">
        <f t="shared" si="3"/>
        <v>6</v>
      </c>
      <c r="J118" s="5">
        <f t="shared" si="4"/>
        <v>44200000</v>
      </c>
    </row>
    <row r="119">
      <c r="A119" s="11">
        <v>14.0</v>
      </c>
      <c r="B119" s="5" t="str">
        <f>IFERROR(__xludf.DUMMYFUNCTION("""COMPUTED_VALUE"""),"Viral hepatitis (B15-B19)")</f>
        <v>Viral hepatitis (B15-B19)</v>
      </c>
      <c r="C119" s="8">
        <f>IFERROR(__xludf.DUMMYFUNCTION("""COMPUTED_VALUE"""),1911.0)</f>
        <v>1911</v>
      </c>
      <c r="D119" s="5">
        <f>IFERROR(__xludf.DUMMYFUNCTION("""COMPUTED_VALUE"""),1.1)</f>
        <v>1.1</v>
      </c>
      <c r="E119" s="9">
        <f>IFERROR(__xludf.DUMMYFUNCTION("""COMPUTED_VALUE"""),4.4)</f>
        <v>4.4</v>
      </c>
      <c r="F119" s="5" t="str">
        <f>IFERROR(__xludf.DUMMYFUNCTION("""COMPUTED_VALUE"""),"both sexes")</f>
        <v>both sexes</v>
      </c>
      <c r="G119" s="5" t="str">
        <f>IFERROR(__xludf.DUMMYFUNCTION("""COMPUTED_VALUE"""),"45-54 years")</f>
        <v>45-54 years</v>
      </c>
      <c r="H119" s="9">
        <f t="shared" si="2"/>
        <v>4.4</v>
      </c>
      <c r="I119" s="5">
        <f t="shared" si="3"/>
        <v>6</v>
      </c>
      <c r="J119" s="5">
        <f t="shared" si="4"/>
        <v>43431818.18</v>
      </c>
    </row>
    <row r="120">
      <c r="A120" s="11">
        <v>15.0</v>
      </c>
      <c r="B120" s="5" t="str">
        <f>IFERROR(__xludf.DUMMYFUNCTION("""COMPUTED_VALUE"""),"Essential hypertension and hypertensive renal disease (I10,I12,I15)")</f>
        <v>Essential hypertension and hypertensive renal disease (I10,I12,I15)</v>
      </c>
      <c r="C120" s="8">
        <f>IFERROR(__xludf.DUMMYFUNCTION("""COMPUTED_VALUE"""),1513.0)</f>
        <v>1513</v>
      </c>
      <c r="D120" s="5">
        <f>IFERROR(__xludf.DUMMYFUNCTION("""COMPUTED_VALUE"""),0.9)</f>
        <v>0.9</v>
      </c>
      <c r="E120" s="9">
        <f>IFERROR(__xludf.DUMMYFUNCTION("""COMPUTED_VALUE"""),3.5)</f>
        <v>3.5</v>
      </c>
      <c r="F120" s="5" t="str">
        <f>IFERROR(__xludf.DUMMYFUNCTION("""COMPUTED_VALUE"""),"both sexes")</f>
        <v>both sexes</v>
      </c>
      <c r="G120" s="5" t="str">
        <f>IFERROR(__xludf.DUMMYFUNCTION("""COMPUTED_VALUE"""),"45-54 years")</f>
        <v>45-54 years</v>
      </c>
      <c r="H120" s="9">
        <f t="shared" si="2"/>
        <v>3.5</v>
      </c>
      <c r="I120" s="5">
        <f t="shared" si="3"/>
        <v>6</v>
      </c>
      <c r="J120" s="5">
        <f t="shared" si="4"/>
        <v>43228571.43</v>
      </c>
    </row>
    <row r="121">
      <c r="A121" s="7" t="s">
        <v>12</v>
      </c>
      <c r="B121" s="5" t="str">
        <f>IFERROR(__xludf.DUMMYFUNCTION("""COMPUTED_VALUE"""),"All other causes (Residual)")</f>
        <v>All other causes (Residual)</v>
      </c>
      <c r="C121" s="8">
        <f>IFERROR(__xludf.DUMMYFUNCTION("""COMPUTED_VALUE"""),28172.0)</f>
        <v>28172</v>
      </c>
      <c r="D121" s="5">
        <f>IFERROR(__xludf.DUMMYFUNCTION("""COMPUTED_VALUE"""),15.9)</f>
        <v>15.9</v>
      </c>
      <c r="E121" s="9">
        <f>IFERROR(__xludf.DUMMYFUNCTION("""COMPUTED_VALUE"""),64.4)</f>
        <v>64.4</v>
      </c>
      <c r="F121" s="5" t="str">
        <f>IFERROR(__xludf.DUMMYFUNCTION("""COMPUTED_VALUE"""),"both sexes")</f>
        <v>both sexes</v>
      </c>
      <c r="G121" s="5" t="str">
        <f>IFERROR(__xludf.DUMMYFUNCTION("""COMPUTED_VALUE"""),"45-54 years")</f>
        <v>45-54 years</v>
      </c>
      <c r="H121" s="9">
        <f t="shared" si="2"/>
        <v>64.4</v>
      </c>
      <c r="I121" s="5">
        <f t="shared" si="3"/>
        <v>6</v>
      </c>
      <c r="J121" s="5">
        <f t="shared" si="4"/>
        <v>43745341.61</v>
      </c>
    </row>
    <row r="122">
      <c r="A122" s="7" t="s">
        <v>12</v>
      </c>
      <c r="B122" s="5" t="str">
        <f>IFERROR(__xludf.DUMMYFUNCTION("""COMPUTED_VALUE"""),"All causes")</f>
        <v>All causes</v>
      </c>
      <c r="C122" s="8">
        <f>IFERROR(__xludf.DUMMYFUNCTION("""COMPUTED_VALUE"""),338127.0)</f>
        <v>338127</v>
      </c>
      <c r="D122" s="5">
        <f>IFERROR(__xludf.DUMMYFUNCTION("""COMPUTED_VALUE"""),100.0)</f>
        <v>100</v>
      </c>
      <c r="E122" s="9">
        <f>IFERROR(__xludf.DUMMYFUNCTION("""COMPUTED_VALUE"""),860.0)</f>
        <v>860</v>
      </c>
      <c r="F122" s="5" t="str">
        <f>IFERROR(__xludf.DUMMYFUNCTION("""COMPUTED_VALUE"""),"both sexes")</f>
        <v>both sexes</v>
      </c>
      <c r="G122" s="5" t="str">
        <f>IFERROR(__xludf.DUMMYFUNCTION("""COMPUTED_VALUE"""),"55-64 years")</f>
        <v>55-64 years</v>
      </c>
      <c r="H122" s="9">
        <f t="shared" si="2"/>
        <v>860</v>
      </c>
      <c r="I122" s="5">
        <f t="shared" si="3"/>
        <v>7</v>
      </c>
      <c r="J122" s="5">
        <f t="shared" si="4"/>
        <v>39317093.02</v>
      </c>
    </row>
    <row r="123">
      <c r="A123" s="11">
        <v>1.0</v>
      </c>
      <c r="B123" s="5" t="str">
        <f>IFERROR(__xludf.DUMMYFUNCTION("""COMPUTED_VALUE"""),"Malignant neoplasms (C00-C97)")</f>
        <v>Malignant neoplasms (C00-C97)</v>
      </c>
      <c r="C123" s="8">
        <f>IFERROR(__xludf.DUMMYFUNCTION("""COMPUTED_VALUE"""),113324.0)</f>
        <v>113324</v>
      </c>
      <c r="D123" s="5">
        <f>IFERROR(__xludf.DUMMYFUNCTION("""COMPUTED_VALUE"""),33.5)</f>
        <v>33.5</v>
      </c>
      <c r="E123" s="9">
        <f>IFERROR(__xludf.DUMMYFUNCTION("""COMPUTED_VALUE"""),288.2)</f>
        <v>288.2</v>
      </c>
      <c r="F123" s="5" t="str">
        <f>IFERROR(__xludf.DUMMYFUNCTION("""COMPUTED_VALUE"""),"both sexes")</f>
        <v>both sexes</v>
      </c>
      <c r="G123" s="5" t="str">
        <f>IFERROR(__xludf.DUMMYFUNCTION("""COMPUTED_VALUE"""),"55-64 years")</f>
        <v>55-64 years</v>
      </c>
      <c r="H123" s="9">
        <f t="shared" si="2"/>
        <v>288.2</v>
      </c>
      <c r="I123" s="5">
        <f t="shared" si="3"/>
        <v>7</v>
      </c>
      <c r="J123" s="5">
        <f t="shared" si="4"/>
        <v>39321304.65</v>
      </c>
    </row>
    <row r="124">
      <c r="A124" s="11">
        <v>2.0</v>
      </c>
      <c r="B124" s="5" t="str">
        <f>IFERROR(__xludf.DUMMYFUNCTION("""COMPUTED_VALUE"""),"Diseases of heart (I00-I09,I11,I13,I20-I51)")</f>
        <v>Diseases of heart (I00-I09,I11,I13,I20-I51)</v>
      </c>
      <c r="C124" s="8">
        <f>IFERROR(__xludf.DUMMYFUNCTION("""COMPUTED_VALUE"""),72568.0)</f>
        <v>72568</v>
      </c>
      <c r="D124" s="5">
        <f>IFERROR(__xludf.DUMMYFUNCTION("""COMPUTED_VALUE"""),21.5)</f>
        <v>21.5</v>
      </c>
      <c r="E124" s="9">
        <f>IFERROR(__xludf.DUMMYFUNCTION("""COMPUTED_VALUE"""),184.6)</f>
        <v>184.6</v>
      </c>
      <c r="F124" s="5" t="str">
        <f>IFERROR(__xludf.DUMMYFUNCTION("""COMPUTED_VALUE"""),"both sexes")</f>
        <v>both sexes</v>
      </c>
      <c r="G124" s="5" t="str">
        <f>IFERROR(__xludf.DUMMYFUNCTION("""COMPUTED_VALUE"""),"55-64 years")</f>
        <v>55-64 years</v>
      </c>
      <c r="H124" s="9">
        <f t="shared" si="2"/>
        <v>184.6</v>
      </c>
      <c r="I124" s="5">
        <f t="shared" si="3"/>
        <v>7</v>
      </c>
      <c r="J124" s="5">
        <f t="shared" si="4"/>
        <v>39310942.58</v>
      </c>
    </row>
    <row r="125">
      <c r="A125" s="11">
        <v>3.0</v>
      </c>
      <c r="B125" s="5" t="str">
        <f>IFERROR(__xludf.DUMMYFUNCTION("""COMPUTED_VALUE"""),"Accidents (unintentional injuries) (V01-X59,Y85-Y86)")</f>
        <v>Accidents (unintentional injuries) (V01-X59,Y85-Y86)</v>
      </c>
      <c r="C125" s="8">
        <f>IFERROR(__xludf.DUMMYFUNCTION("""COMPUTED_VALUE"""),17057.0)</f>
        <v>17057</v>
      </c>
      <c r="D125" s="5">
        <f>IFERROR(__xludf.DUMMYFUNCTION("""COMPUTED_VALUE"""),5.0)</f>
        <v>5</v>
      </c>
      <c r="E125" s="9">
        <f>IFERROR(__xludf.DUMMYFUNCTION("""COMPUTED_VALUE"""),43.4)</f>
        <v>43.4</v>
      </c>
      <c r="F125" s="5" t="str">
        <f>IFERROR(__xludf.DUMMYFUNCTION("""COMPUTED_VALUE"""),"both sexes")</f>
        <v>both sexes</v>
      </c>
      <c r="G125" s="5" t="str">
        <f>IFERROR(__xludf.DUMMYFUNCTION("""COMPUTED_VALUE"""),"55-64 years")</f>
        <v>55-64 years</v>
      </c>
      <c r="H125" s="9">
        <f t="shared" si="2"/>
        <v>43.4</v>
      </c>
      <c r="I125" s="5">
        <f t="shared" si="3"/>
        <v>7</v>
      </c>
      <c r="J125" s="5">
        <f t="shared" si="4"/>
        <v>39301843.32</v>
      </c>
    </row>
    <row r="126">
      <c r="A126" s="11">
        <v>4.0</v>
      </c>
      <c r="B126" s="5" t="str">
        <f>IFERROR(__xludf.DUMMYFUNCTION("""COMPUTED_VALUE"""),"Chronic lower respiratory diseases (J40-J47)")</f>
        <v>Chronic lower respiratory diseases (J40-J47)</v>
      </c>
      <c r="C126" s="8">
        <f>IFERROR(__xludf.DUMMYFUNCTION("""COMPUTED_VALUE"""),15942.0)</f>
        <v>15942</v>
      </c>
      <c r="D126" s="5">
        <f>IFERROR(__xludf.DUMMYFUNCTION("""COMPUTED_VALUE"""),4.7)</f>
        <v>4.7</v>
      </c>
      <c r="E126" s="9">
        <f>IFERROR(__xludf.DUMMYFUNCTION("""COMPUTED_VALUE"""),40.5)</f>
        <v>40.5</v>
      </c>
      <c r="F126" s="5" t="str">
        <f>IFERROR(__xludf.DUMMYFUNCTION("""COMPUTED_VALUE"""),"both sexes")</f>
        <v>both sexes</v>
      </c>
      <c r="G126" s="5" t="str">
        <f>IFERROR(__xludf.DUMMYFUNCTION("""COMPUTED_VALUE"""),"55-64 years")</f>
        <v>55-64 years</v>
      </c>
      <c r="H126" s="9">
        <f t="shared" si="2"/>
        <v>40.5</v>
      </c>
      <c r="I126" s="5">
        <f t="shared" si="3"/>
        <v>7</v>
      </c>
      <c r="J126" s="5">
        <f t="shared" si="4"/>
        <v>39362962.96</v>
      </c>
    </row>
    <row r="127">
      <c r="A127" s="11">
        <v>5.0</v>
      </c>
      <c r="B127" s="5" t="str">
        <f>IFERROR(__xludf.DUMMYFUNCTION("""COMPUTED_VALUE"""),"Diabetes mellitus (E10-E14)")</f>
        <v>Diabetes mellitus (E10-E14)</v>
      </c>
      <c r="C127" s="8">
        <f>IFERROR(__xludf.DUMMYFUNCTION("""COMPUTED_VALUE"""),13061.0)</f>
        <v>13061</v>
      </c>
      <c r="D127" s="5">
        <f>IFERROR(__xludf.DUMMYFUNCTION("""COMPUTED_VALUE"""),3.9)</f>
        <v>3.9</v>
      </c>
      <c r="E127" s="9">
        <f>IFERROR(__xludf.DUMMYFUNCTION("""COMPUTED_VALUE"""),33.2)</f>
        <v>33.2</v>
      </c>
      <c r="F127" s="5" t="str">
        <f>IFERROR(__xludf.DUMMYFUNCTION("""COMPUTED_VALUE"""),"both sexes")</f>
        <v>both sexes</v>
      </c>
      <c r="G127" s="5" t="str">
        <f>IFERROR(__xludf.DUMMYFUNCTION("""COMPUTED_VALUE"""),"55-64 years")</f>
        <v>55-64 years</v>
      </c>
      <c r="H127" s="9">
        <f t="shared" si="2"/>
        <v>33.2</v>
      </c>
      <c r="I127" s="5">
        <f t="shared" si="3"/>
        <v>7</v>
      </c>
      <c r="J127" s="5">
        <f t="shared" si="4"/>
        <v>39340361.45</v>
      </c>
    </row>
    <row r="128">
      <c r="A128" s="11">
        <v>6.0</v>
      </c>
      <c r="B128" s="5" t="str">
        <f>IFERROR(__xludf.DUMMYFUNCTION("""COMPUTED_VALUE"""),"Chronic liver disease and cirrhosis (K70,K73-K74)")</f>
        <v>Chronic liver disease and cirrhosis (K70,K73-K74)</v>
      </c>
      <c r="C128" s="8">
        <f>IFERROR(__xludf.DUMMYFUNCTION("""COMPUTED_VALUE"""),11951.0)</f>
        <v>11951</v>
      </c>
      <c r="D128" s="5">
        <f>IFERROR(__xludf.DUMMYFUNCTION("""COMPUTED_VALUE"""),3.5)</f>
        <v>3.5</v>
      </c>
      <c r="E128" s="9">
        <f>IFERROR(__xludf.DUMMYFUNCTION("""COMPUTED_VALUE"""),30.4)</f>
        <v>30.4</v>
      </c>
      <c r="F128" s="5" t="str">
        <f>IFERROR(__xludf.DUMMYFUNCTION("""COMPUTED_VALUE"""),"both sexes")</f>
        <v>both sexes</v>
      </c>
      <c r="G128" s="5" t="str">
        <f>IFERROR(__xludf.DUMMYFUNCTION("""COMPUTED_VALUE"""),"55-64 years")</f>
        <v>55-64 years</v>
      </c>
      <c r="H128" s="9">
        <f t="shared" si="2"/>
        <v>30.4</v>
      </c>
      <c r="I128" s="5">
        <f t="shared" si="3"/>
        <v>7</v>
      </c>
      <c r="J128" s="5">
        <f t="shared" si="4"/>
        <v>39312500</v>
      </c>
    </row>
    <row r="129">
      <c r="A129" s="11">
        <v>7.0</v>
      </c>
      <c r="B129" s="5" t="str">
        <f>IFERROR(__xludf.DUMMYFUNCTION("""COMPUTED_VALUE"""),"Cerebrovascular diseases (I60-I69)")</f>
        <v>Cerebrovascular diseases (I60-I69)</v>
      </c>
      <c r="C129" s="8">
        <f>IFERROR(__xludf.DUMMYFUNCTION("""COMPUTED_VALUE"""),11364.0)</f>
        <v>11364</v>
      </c>
      <c r="D129" s="5">
        <f>IFERROR(__xludf.DUMMYFUNCTION("""COMPUTED_VALUE"""),3.4)</f>
        <v>3.4</v>
      </c>
      <c r="E129" s="9">
        <f>IFERROR(__xludf.DUMMYFUNCTION("""COMPUTED_VALUE"""),28.9)</f>
        <v>28.9</v>
      </c>
      <c r="F129" s="5" t="str">
        <f>IFERROR(__xludf.DUMMYFUNCTION("""COMPUTED_VALUE"""),"both sexes")</f>
        <v>both sexes</v>
      </c>
      <c r="G129" s="5" t="str">
        <f>IFERROR(__xludf.DUMMYFUNCTION("""COMPUTED_VALUE"""),"55-64 years")</f>
        <v>55-64 years</v>
      </c>
      <c r="H129" s="9">
        <f t="shared" si="2"/>
        <v>28.9</v>
      </c>
      <c r="I129" s="5">
        <f t="shared" si="3"/>
        <v>7</v>
      </c>
      <c r="J129" s="5">
        <f t="shared" si="4"/>
        <v>39321799.31</v>
      </c>
    </row>
    <row r="130">
      <c r="A130" s="11">
        <v>8.0</v>
      </c>
      <c r="B130" s="5" t="str">
        <f>IFERROR(__xludf.DUMMYFUNCTION("""COMPUTED_VALUE"""),"Intentional self-harm (suicide) (*U03,X60-X84,Y87.0)")</f>
        <v>Intentional self-harm (suicide) (*U03,X60-X84,Y87.0)</v>
      </c>
      <c r="C130" s="8">
        <f>IFERROR(__xludf.DUMMYFUNCTION("""COMPUTED_VALUE"""),7135.0)</f>
        <v>7135</v>
      </c>
      <c r="D130" s="5">
        <f>IFERROR(__xludf.DUMMYFUNCTION("""COMPUTED_VALUE"""),2.1)</f>
        <v>2.1</v>
      </c>
      <c r="E130" s="9">
        <f>IFERROR(__xludf.DUMMYFUNCTION("""COMPUTED_VALUE"""),18.1)</f>
        <v>18.1</v>
      </c>
      <c r="F130" s="5" t="str">
        <f>IFERROR(__xludf.DUMMYFUNCTION("""COMPUTED_VALUE"""),"both sexes")</f>
        <v>both sexes</v>
      </c>
      <c r="G130" s="5" t="str">
        <f>IFERROR(__xludf.DUMMYFUNCTION("""COMPUTED_VALUE"""),"55-64 years")</f>
        <v>55-64 years</v>
      </c>
      <c r="H130" s="9">
        <f t="shared" si="2"/>
        <v>18.1</v>
      </c>
      <c r="I130" s="5">
        <f t="shared" si="3"/>
        <v>7</v>
      </c>
      <c r="J130" s="5">
        <f t="shared" si="4"/>
        <v>39419889.5</v>
      </c>
    </row>
    <row r="131">
      <c r="A131" s="11">
        <v>9.0</v>
      </c>
      <c r="B131" s="5" t="str">
        <f>IFERROR(__xludf.DUMMYFUNCTION("""COMPUTED_VALUE"""),"Septicemia (A40-A41)")</f>
        <v>Septicemia (A40-A41)</v>
      </c>
      <c r="C131" s="8">
        <f>IFERROR(__xludf.DUMMYFUNCTION("""COMPUTED_VALUE"""),5345.0)</f>
        <v>5345</v>
      </c>
      <c r="D131" s="5">
        <f>IFERROR(__xludf.DUMMYFUNCTION("""COMPUTED_VALUE"""),1.6)</f>
        <v>1.6</v>
      </c>
      <c r="E131" s="9">
        <f>IFERROR(__xludf.DUMMYFUNCTION("""COMPUTED_VALUE"""),13.6)</f>
        <v>13.6</v>
      </c>
      <c r="F131" s="5" t="str">
        <f>IFERROR(__xludf.DUMMYFUNCTION("""COMPUTED_VALUE"""),"both sexes")</f>
        <v>both sexes</v>
      </c>
      <c r="G131" s="5" t="str">
        <f>IFERROR(__xludf.DUMMYFUNCTION("""COMPUTED_VALUE"""),"55-64 years")</f>
        <v>55-64 years</v>
      </c>
      <c r="H131" s="9">
        <f t="shared" si="2"/>
        <v>13.6</v>
      </c>
      <c r="I131" s="5">
        <f t="shared" si="3"/>
        <v>7</v>
      </c>
      <c r="J131" s="5">
        <f t="shared" si="4"/>
        <v>39301470.59</v>
      </c>
    </row>
    <row r="132">
      <c r="A132" s="11">
        <v>10.0</v>
      </c>
      <c r="B132" s="5" t="str">
        <f>IFERROR(__xludf.DUMMYFUNCTION("""COMPUTED_VALUE"""),"Nephritis, nephrotic syndrome and nephrosis (N00-N07,N17-N19,N25-N27)")</f>
        <v>Nephritis, nephrotic syndrome and nephrosis (N00-N07,N17-N19,N25-N27)</v>
      </c>
      <c r="C132" s="8">
        <f>IFERROR(__xludf.DUMMYFUNCTION("""COMPUTED_VALUE"""),4947.0)</f>
        <v>4947</v>
      </c>
      <c r="D132" s="5">
        <f>IFERROR(__xludf.DUMMYFUNCTION("""COMPUTED_VALUE"""),1.5)</f>
        <v>1.5</v>
      </c>
      <c r="E132" s="9">
        <f>IFERROR(__xludf.DUMMYFUNCTION("""COMPUTED_VALUE"""),12.6)</f>
        <v>12.6</v>
      </c>
      <c r="F132" s="5" t="str">
        <f>IFERROR(__xludf.DUMMYFUNCTION("""COMPUTED_VALUE"""),"both sexes")</f>
        <v>both sexes</v>
      </c>
      <c r="G132" s="5" t="str">
        <f>IFERROR(__xludf.DUMMYFUNCTION("""COMPUTED_VALUE"""),"55-64 years")</f>
        <v>55-64 years</v>
      </c>
      <c r="H132" s="9">
        <f t="shared" si="2"/>
        <v>12.6</v>
      </c>
      <c r="I132" s="5">
        <f t="shared" si="3"/>
        <v>7</v>
      </c>
      <c r="J132" s="5">
        <f t="shared" si="4"/>
        <v>39261904.76</v>
      </c>
    </row>
    <row r="133">
      <c r="A133" s="11">
        <v>11.0</v>
      </c>
      <c r="B133" s="5" t="str">
        <f>IFERROR(__xludf.DUMMYFUNCTION("""COMPUTED_VALUE"""),"Influenza and pneumonia (J09-J18)")</f>
        <v>Influenza and pneumonia (J09-J18)</v>
      </c>
      <c r="C133" s="8">
        <f>IFERROR(__xludf.DUMMYFUNCTION("""COMPUTED_VALUE"""),4779.0)</f>
        <v>4779</v>
      </c>
      <c r="D133" s="5">
        <f>IFERROR(__xludf.DUMMYFUNCTION("""COMPUTED_VALUE"""),1.4)</f>
        <v>1.4</v>
      </c>
      <c r="E133" s="9">
        <f>IFERROR(__xludf.DUMMYFUNCTION("""COMPUTED_VALUE"""),12.2)</f>
        <v>12.2</v>
      </c>
      <c r="F133" s="5" t="str">
        <f>IFERROR(__xludf.DUMMYFUNCTION("""COMPUTED_VALUE"""),"both sexes")</f>
        <v>both sexes</v>
      </c>
      <c r="G133" s="5" t="str">
        <f>IFERROR(__xludf.DUMMYFUNCTION("""COMPUTED_VALUE"""),"55-64 years")</f>
        <v>55-64 years</v>
      </c>
      <c r="H133" s="9">
        <f t="shared" si="2"/>
        <v>12.2</v>
      </c>
      <c r="I133" s="5">
        <f t="shared" si="3"/>
        <v>7</v>
      </c>
      <c r="J133" s="5">
        <f t="shared" si="4"/>
        <v>39172131.15</v>
      </c>
    </row>
    <row r="134">
      <c r="A134" s="11">
        <v>12.0</v>
      </c>
      <c r="B134" s="5" t="str">
        <f>IFERROR(__xludf.DUMMYFUNCTION("""COMPUTED_VALUE"""),"Viral hepatitis (B15-B19)")</f>
        <v>Viral hepatitis (B15-B19)</v>
      </c>
      <c r="C134" s="8">
        <f>IFERROR(__xludf.DUMMYFUNCTION("""COMPUTED_VALUE"""),3936.0)</f>
        <v>3936</v>
      </c>
      <c r="D134" s="5">
        <f>IFERROR(__xludf.DUMMYFUNCTION("""COMPUTED_VALUE"""),1.2)</f>
        <v>1.2</v>
      </c>
      <c r="E134" s="9">
        <f>IFERROR(__xludf.DUMMYFUNCTION("""COMPUTED_VALUE"""),10.0)</f>
        <v>10</v>
      </c>
      <c r="F134" s="5" t="str">
        <f>IFERROR(__xludf.DUMMYFUNCTION("""COMPUTED_VALUE"""),"both sexes")</f>
        <v>both sexes</v>
      </c>
      <c r="G134" s="5" t="str">
        <f>IFERROR(__xludf.DUMMYFUNCTION("""COMPUTED_VALUE"""),"55-64 years")</f>
        <v>55-64 years</v>
      </c>
      <c r="H134" s="9">
        <f t="shared" si="2"/>
        <v>10</v>
      </c>
      <c r="I134" s="5">
        <f t="shared" si="3"/>
        <v>7</v>
      </c>
      <c r="J134" s="5">
        <f t="shared" si="4"/>
        <v>39360000</v>
      </c>
    </row>
    <row r="135">
      <c r="A135" s="11">
        <v>13.0</v>
      </c>
      <c r="B135" s="5" t="str">
        <f>IFERROR(__xludf.DUMMYFUNCTION("""COMPUTED_VALUE"""),"Essential hypertension and hypertensive renal disease (I10,I12,I15)")</f>
        <v>Essential hypertension and hypertensive renal disease (I10,I12,I15)</v>
      </c>
      <c r="C135" s="8">
        <f>IFERROR(__xludf.DUMMYFUNCTION("""COMPUTED_VALUE"""),3137.0)</f>
        <v>3137</v>
      </c>
      <c r="D135" s="5">
        <f>IFERROR(__xludf.DUMMYFUNCTION("""COMPUTED_VALUE"""),0.9)</f>
        <v>0.9</v>
      </c>
      <c r="E135" s="9">
        <f>IFERROR(__xludf.DUMMYFUNCTION("""COMPUTED_VALUE"""),8.0)</f>
        <v>8</v>
      </c>
      <c r="F135" s="5" t="str">
        <f>IFERROR(__xludf.DUMMYFUNCTION("""COMPUTED_VALUE"""),"both sexes")</f>
        <v>both sexes</v>
      </c>
      <c r="G135" s="5" t="str">
        <f>IFERROR(__xludf.DUMMYFUNCTION("""COMPUTED_VALUE"""),"55-64 years")</f>
        <v>55-64 years</v>
      </c>
      <c r="H135" s="9">
        <f t="shared" si="2"/>
        <v>8</v>
      </c>
      <c r="I135" s="5">
        <f t="shared" si="3"/>
        <v>7</v>
      </c>
      <c r="J135" s="5">
        <f t="shared" si="4"/>
        <v>39212500</v>
      </c>
    </row>
    <row r="136">
      <c r="A136" s="11">
        <v>14.0</v>
      </c>
      <c r="B136" s="5" t="str">
        <f>IFERROR(__xludf.DUMMYFUNCTION("""COMPUTED_VALUE"""),"Human immunodeficiency virus (HIV) disease (B20-B24)")</f>
        <v>Human immunodeficiency virus (HIV) disease (B20-B24)</v>
      </c>
      <c r="C136" s="8">
        <f>IFERROR(__xludf.DUMMYFUNCTION("""COMPUTED_VALUE"""),1820.0)</f>
        <v>1820</v>
      </c>
      <c r="D136" s="5">
        <f>IFERROR(__xludf.DUMMYFUNCTION("""COMPUTED_VALUE"""),0.5)</f>
        <v>0.5</v>
      </c>
      <c r="E136" s="9">
        <f>IFERROR(__xludf.DUMMYFUNCTION("""COMPUTED_VALUE"""),4.6)</f>
        <v>4.6</v>
      </c>
      <c r="F136" s="5" t="str">
        <f>IFERROR(__xludf.DUMMYFUNCTION("""COMPUTED_VALUE"""),"both sexes")</f>
        <v>both sexes</v>
      </c>
      <c r="G136" s="5" t="str">
        <f>IFERROR(__xludf.DUMMYFUNCTION("""COMPUTED_VALUE"""),"55-64 years")</f>
        <v>55-64 years</v>
      </c>
      <c r="H136" s="9">
        <f t="shared" si="2"/>
        <v>4.6</v>
      </c>
      <c r="I136" s="5">
        <f t="shared" si="3"/>
        <v>7</v>
      </c>
      <c r="J136" s="5">
        <f t="shared" si="4"/>
        <v>39565217.39</v>
      </c>
    </row>
    <row r="137">
      <c r="A137" s="11">
        <v>15.0</v>
      </c>
      <c r="B137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137" s="8">
        <f>IFERROR(__xludf.DUMMYFUNCTION("""COMPUTED_VALUE"""),1502.0)</f>
        <v>1502</v>
      </c>
      <c r="D137" s="5">
        <f>IFERROR(__xludf.DUMMYFUNCTION("""COMPUTED_VALUE"""),0.4)</f>
        <v>0.4</v>
      </c>
      <c r="E137" s="9">
        <f>IFERROR(__xludf.DUMMYFUNCTION("""COMPUTED_VALUE"""),3.8)</f>
        <v>3.8</v>
      </c>
      <c r="F137" s="5" t="str">
        <f>IFERROR(__xludf.DUMMYFUNCTION("""COMPUTED_VALUE"""),"both sexes")</f>
        <v>both sexes</v>
      </c>
      <c r="G137" s="5" t="str">
        <f>IFERROR(__xludf.DUMMYFUNCTION("""COMPUTED_VALUE"""),"55-64 years")</f>
        <v>55-64 years</v>
      </c>
      <c r="H137" s="9">
        <f t="shared" si="2"/>
        <v>3.8</v>
      </c>
      <c r="I137" s="5">
        <f t="shared" si="3"/>
        <v>7</v>
      </c>
      <c r="J137" s="5">
        <f t="shared" si="4"/>
        <v>39526315.79</v>
      </c>
    </row>
    <row r="138">
      <c r="A138" s="7" t="s">
        <v>12</v>
      </c>
      <c r="B138" s="5" t="str">
        <f>IFERROR(__xludf.DUMMYFUNCTION("""COMPUTED_VALUE"""),"All other causes (Residual)")</f>
        <v>All other causes (Residual)</v>
      </c>
      <c r="C138" s="8">
        <f>IFERROR(__xludf.DUMMYFUNCTION("""COMPUTED_VALUE"""),50259.0)</f>
        <v>50259</v>
      </c>
      <c r="D138" s="5">
        <f>IFERROR(__xludf.DUMMYFUNCTION("""COMPUTED_VALUE"""),14.9)</f>
        <v>14.9</v>
      </c>
      <c r="E138" s="9">
        <f>IFERROR(__xludf.DUMMYFUNCTION("""COMPUTED_VALUE"""),127.8)</f>
        <v>127.8</v>
      </c>
      <c r="F138" s="5" t="str">
        <f>IFERROR(__xludf.DUMMYFUNCTION("""COMPUTED_VALUE"""),"both sexes")</f>
        <v>both sexes</v>
      </c>
      <c r="G138" s="5" t="str">
        <f>IFERROR(__xludf.DUMMYFUNCTION("""COMPUTED_VALUE"""),"55-64 years")</f>
        <v>55-64 years</v>
      </c>
      <c r="H138" s="9">
        <f t="shared" si="2"/>
        <v>127.8</v>
      </c>
      <c r="I138" s="5">
        <f t="shared" si="3"/>
        <v>7</v>
      </c>
      <c r="J138" s="5">
        <f t="shared" si="4"/>
        <v>39326291.08</v>
      </c>
    </row>
    <row r="139">
      <c r="A139" s="7" t="s">
        <v>12</v>
      </c>
      <c r="B139" s="5" t="str">
        <f>IFERROR(__xludf.DUMMYFUNCTION("""COMPUTED_VALUE"""),"All causes")</f>
        <v>All causes</v>
      </c>
      <c r="C139" s="8">
        <f>IFERROR(__xludf.DUMMYFUNCTION("""COMPUTED_VALUE"""),454429.0)</f>
        <v>454429</v>
      </c>
      <c r="D139" s="5">
        <f>IFERROR(__xludf.DUMMYFUNCTION("""COMPUTED_VALUE"""),100.0)</f>
        <v>100</v>
      </c>
      <c r="E139" s="9">
        <f>IFERROR(__xludf.DUMMYFUNCTION("""COMPUTED_VALUE"""),1802.1)</f>
        <v>1802.1</v>
      </c>
      <c r="F139" s="5" t="str">
        <f>IFERROR(__xludf.DUMMYFUNCTION("""COMPUTED_VALUE"""),"both sexes")</f>
        <v>both sexes</v>
      </c>
      <c r="G139" s="5" t="str">
        <f>IFERROR(__xludf.DUMMYFUNCTION("""COMPUTED_VALUE"""),"65-74 years")</f>
        <v>65-74 years</v>
      </c>
      <c r="H139" s="9">
        <f t="shared" si="2"/>
        <v>1802.1</v>
      </c>
      <c r="I139" s="5">
        <f t="shared" si="3"/>
        <v>8</v>
      </c>
      <c r="J139" s="5">
        <f t="shared" si="4"/>
        <v>25216636.15</v>
      </c>
    </row>
    <row r="140">
      <c r="A140" s="11">
        <v>1.0</v>
      </c>
      <c r="B140" s="5" t="str">
        <f>IFERROR(__xludf.DUMMYFUNCTION("""COMPUTED_VALUE"""),"Malignant neoplasms (C00-C97)")</f>
        <v>Malignant neoplasms (C00-C97)</v>
      </c>
      <c r="C140" s="8">
        <f>IFERROR(__xludf.DUMMYFUNCTION("""COMPUTED_VALUE"""),155552.0)</f>
        <v>155552</v>
      </c>
      <c r="D140" s="5">
        <f>IFERROR(__xludf.DUMMYFUNCTION("""COMPUTED_VALUE"""),34.2)</f>
        <v>34.2</v>
      </c>
      <c r="E140" s="9">
        <f>IFERROR(__xludf.DUMMYFUNCTION("""COMPUTED_VALUE"""),616.9)</f>
        <v>616.9</v>
      </c>
      <c r="F140" s="5" t="str">
        <f>IFERROR(__xludf.DUMMYFUNCTION("""COMPUTED_VALUE"""),"both sexes")</f>
        <v>both sexes</v>
      </c>
      <c r="G140" s="5" t="str">
        <f>IFERROR(__xludf.DUMMYFUNCTION("""COMPUTED_VALUE"""),"65-74 years")</f>
        <v>65-74 years</v>
      </c>
      <c r="H140" s="9">
        <f t="shared" si="2"/>
        <v>616.9</v>
      </c>
      <c r="I140" s="5">
        <f t="shared" si="3"/>
        <v>8</v>
      </c>
      <c r="J140" s="5">
        <f t="shared" si="4"/>
        <v>25215107.8</v>
      </c>
    </row>
    <row r="141">
      <c r="A141" s="11">
        <v>2.0</v>
      </c>
      <c r="B141" s="5" t="str">
        <f>IFERROR(__xludf.DUMMYFUNCTION("""COMPUTED_VALUE"""),"Diseases of heart (I00-I09,I11,I13,I20-I51)")</f>
        <v>Diseases of heart (I00-I09,I11,I13,I20-I51)</v>
      </c>
      <c r="C141" s="8">
        <f>IFERROR(__xludf.DUMMYFUNCTION("""COMPUTED_VALUE"""),98432.0)</f>
        <v>98432</v>
      </c>
      <c r="D141" s="5">
        <f>IFERROR(__xludf.DUMMYFUNCTION("""COMPUTED_VALUE"""),21.7)</f>
        <v>21.7</v>
      </c>
      <c r="E141" s="9">
        <f>IFERROR(__xludf.DUMMYFUNCTION("""COMPUTED_VALUE"""),390.3)</f>
        <v>390.3</v>
      </c>
      <c r="F141" s="5" t="str">
        <f>IFERROR(__xludf.DUMMYFUNCTION("""COMPUTED_VALUE"""),"both sexes")</f>
        <v>both sexes</v>
      </c>
      <c r="G141" s="5" t="str">
        <f>IFERROR(__xludf.DUMMYFUNCTION("""COMPUTED_VALUE"""),"65-74 years")</f>
        <v>65-74 years</v>
      </c>
      <c r="H141" s="9">
        <f t="shared" si="2"/>
        <v>390.3</v>
      </c>
      <c r="I141" s="5">
        <f t="shared" si="3"/>
        <v>8</v>
      </c>
      <c r="J141" s="5">
        <f t="shared" si="4"/>
        <v>25219574.69</v>
      </c>
    </row>
    <row r="142">
      <c r="A142" s="11">
        <v>3.0</v>
      </c>
      <c r="B142" s="5" t="str">
        <f>IFERROR(__xludf.DUMMYFUNCTION("""COMPUTED_VALUE"""),"Chronic lower respiratory diseases (J40-J47)")</f>
        <v>Chronic lower respiratory diseases (J40-J47)</v>
      </c>
      <c r="C142" s="8">
        <f>IFERROR(__xludf.DUMMYFUNCTION("""COMPUTED_VALUE"""),35603.0)</f>
        <v>35603</v>
      </c>
      <c r="D142" s="5">
        <f>IFERROR(__xludf.DUMMYFUNCTION("""COMPUTED_VALUE"""),7.8)</f>
        <v>7.8</v>
      </c>
      <c r="E142" s="9">
        <f>IFERROR(__xludf.DUMMYFUNCTION("""COMPUTED_VALUE"""),141.2)</f>
        <v>141.2</v>
      </c>
      <c r="F142" s="5" t="str">
        <f>IFERROR(__xludf.DUMMYFUNCTION("""COMPUTED_VALUE"""),"both sexes")</f>
        <v>both sexes</v>
      </c>
      <c r="G142" s="5" t="str">
        <f>IFERROR(__xludf.DUMMYFUNCTION("""COMPUTED_VALUE"""),"65-74 years")</f>
        <v>65-74 years</v>
      </c>
      <c r="H142" s="9">
        <f t="shared" si="2"/>
        <v>141.2</v>
      </c>
      <c r="I142" s="5">
        <f t="shared" si="3"/>
        <v>8</v>
      </c>
      <c r="J142" s="5">
        <f t="shared" si="4"/>
        <v>25214589.24</v>
      </c>
    </row>
    <row r="143">
      <c r="A143" s="11">
        <v>4.0</v>
      </c>
      <c r="B143" s="5" t="str">
        <f>IFERROR(__xludf.DUMMYFUNCTION("""COMPUTED_VALUE"""),"Cerebrovascular diseases (I60-I69)")</f>
        <v>Cerebrovascular diseases (I60-I69)</v>
      </c>
      <c r="C143" s="8">
        <f>IFERROR(__xludf.DUMMYFUNCTION("""COMPUTED_VALUE"""),18722.0)</f>
        <v>18722</v>
      </c>
      <c r="D143" s="5">
        <f>IFERROR(__xludf.DUMMYFUNCTION("""COMPUTED_VALUE"""),4.1)</f>
        <v>4.1</v>
      </c>
      <c r="E143" s="9">
        <f>IFERROR(__xludf.DUMMYFUNCTION("""COMPUTED_VALUE"""),74.2)</f>
        <v>74.2</v>
      </c>
      <c r="F143" s="5" t="str">
        <f>IFERROR(__xludf.DUMMYFUNCTION("""COMPUTED_VALUE"""),"both sexes")</f>
        <v>both sexes</v>
      </c>
      <c r="G143" s="5" t="str">
        <f>IFERROR(__xludf.DUMMYFUNCTION("""COMPUTED_VALUE"""),"65-74 years")</f>
        <v>65-74 years</v>
      </c>
      <c r="H143" s="9">
        <f t="shared" si="2"/>
        <v>74.2</v>
      </c>
      <c r="I143" s="5">
        <f t="shared" si="3"/>
        <v>8</v>
      </c>
      <c r="J143" s="5">
        <f t="shared" si="4"/>
        <v>25231805.93</v>
      </c>
    </row>
    <row r="144">
      <c r="A144" s="11">
        <v>5.0</v>
      </c>
      <c r="B144" s="5" t="str">
        <f>IFERROR(__xludf.DUMMYFUNCTION("""COMPUTED_VALUE"""),"Diabetes mellitus (E10-E14)")</f>
        <v>Diabetes mellitus (E10-E14)</v>
      </c>
      <c r="C144" s="8">
        <f>IFERROR(__xludf.DUMMYFUNCTION("""COMPUTED_VALUE"""),17279.0)</f>
        <v>17279</v>
      </c>
      <c r="D144" s="5">
        <f>IFERROR(__xludf.DUMMYFUNCTION("""COMPUTED_VALUE"""),3.8)</f>
        <v>3.8</v>
      </c>
      <c r="E144" s="9">
        <f>IFERROR(__xludf.DUMMYFUNCTION("""COMPUTED_VALUE"""),68.5)</f>
        <v>68.5</v>
      </c>
      <c r="F144" s="5" t="str">
        <f>IFERROR(__xludf.DUMMYFUNCTION("""COMPUTED_VALUE"""),"both sexes")</f>
        <v>both sexes</v>
      </c>
      <c r="G144" s="5" t="str">
        <f>IFERROR(__xludf.DUMMYFUNCTION("""COMPUTED_VALUE"""),"65-74 years")</f>
        <v>65-74 years</v>
      </c>
      <c r="H144" s="9">
        <f t="shared" si="2"/>
        <v>68.5</v>
      </c>
      <c r="I144" s="5">
        <f t="shared" si="3"/>
        <v>8</v>
      </c>
      <c r="J144" s="5">
        <f t="shared" si="4"/>
        <v>25224817.52</v>
      </c>
    </row>
    <row r="145">
      <c r="A145" s="11">
        <v>6.0</v>
      </c>
      <c r="B145" s="5" t="str">
        <f>IFERROR(__xludf.DUMMYFUNCTION("""COMPUTED_VALUE"""),"Accidents (unintentional injuries) (V01-X59,Y85-Y86)")</f>
        <v>Accidents (unintentional injuries) (V01-X59,Y85-Y86)</v>
      </c>
      <c r="C145" s="8">
        <f>IFERROR(__xludf.DUMMYFUNCTION("""COMPUTED_VALUE"""),10967.0)</f>
        <v>10967</v>
      </c>
      <c r="D145" s="5">
        <f>IFERROR(__xludf.DUMMYFUNCTION("""COMPUTED_VALUE"""),2.4)</f>
        <v>2.4</v>
      </c>
      <c r="E145" s="9">
        <f>IFERROR(__xludf.DUMMYFUNCTION("""COMPUTED_VALUE"""),43.5)</f>
        <v>43.5</v>
      </c>
      <c r="F145" s="5" t="str">
        <f>IFERROR(__xludf.DUMMYFUNCTION("""COMPUTED_VALUE"""),"both sexes")</f>
        <v>both sexes</v>
      </c>
      <c r="G145" s="5" t="str">
        <f>IFERROR(__xludf.DUMMYFUNCTION("""COMPUTED_VALUE"""),"65-74 years")</f>
        <v>65-74 years</v>
      </c>
      <c r="H145" s="9">
        <f t="shared" si="2"/>
        <v>43.5</v>
      </c>
      <c r="I145" s="5">
        <f t="shared" si="3"/>
        <v>8</v>
      </c>
      <c r="J145" s="5">
        <f t="shared" si="4"/>
        <v>25211494.25</v>
      </c>
    </row>
    <row r="146">
      <c r="A146" s="11">
        <v>7.0</v>
      </c>
      <c r="B146" s="5" t="str">
        <f>IFERROR(__xludf.DUMMYFUNCTION("""COMPUTED_VALUE"""),"Nephritis, nephrotic syndrome and nephrosis (N00-N07,N17-N19,N25-N27)")</f>
        <v>Nephritis, nephrotic syndrome and nephrosis (N00-N07,N17-N19,N25-N27)</v>
      </c>
      <c r="C146" s="8">
        <f>IFERROR(__xludf.DUMMYFUNCTION("""COMPUTED_VALUE"""),8524.0)</f>
        <v>8524</v>
      </c>
      <c r="D146" s="5">
        <f>IFERROR(__xludf.DUMMYFUNCTION("""COMPUTED_VALUE"""),1.9)</f>
        <v>1.9</v>
      </c>
      <c r="E146" s="9">
        <f>IFERROR(__xludf.DUMMYFUNCTION("""COMPUTED_VALUE"""),33.8)</f>
        <v>33.8</v>
      </c>
      <c r="F146" s="5" t="str">
        <f>IFERROR(__xludf.DUMMYFUNCTION("""COMPUTED_VALUE"""),"both sexes")</f>
        <v>both sexes</v>
      </c>
      <c r="G146" s="5" t="str">
        <f>IFERROR(__xludf.DUMMYFUNCTION("""COMPUTED_VALUE"""),"65-74 years")</f>
        <v>65-74 years</v>
      </c>
      <c r="H146" s="9">
        <f t="shared" si="2"/>
        <v>33.8</v>
      </c>
      <c r="I146" s="5">
        <f t="shared" si="3"/>
        <v>8</v>
      </c>
      <c r="J146" s="5">
        <f t="shared" si="4"/>
        <v>25218934.91</v>
      </c>
    </row>
    <row r="147">
      <c r="A147" s="11">
        <v>8.0</v>
      </c>
      <c r="B147" s="5" t="str">
        <f>IFERROR(__xludf.DUMMYFUNCTION("""COMPUTED_VALUE"""),"Septicemia (A40-A41)")</f>
        <v>Septicemia (A40-A41)</v>
      </c>
      <c r="C147" s="8">
        <f>IFERROR(__xludf.DUMMYFUNCTION("""COMPUTED_VALUE"""),7693.0)</f>
        <v>7693</v>
      </c>
      <c r="D147" s="5">
        <f>IFERROR(__xludf.DUMMYFUNCTION("""COMPUTED_VALUE"""),1.7)</f>
        <v>1.7</v>
      </c>
      <c r="E147" s="9">
        <f>IFERROR(__xludf.DUMMYFUNCTION("""COMPUTED_VALUE"""),30.5)</f>
        <v>30.5</v>
      </c>
      <c r="F147" s="5" t="str">
        <f>IFERROR(__xludf.DUMMYFUNCTION("""COMPUTED_VALUE"""),"both sexes")</f>
        <v>both sexes</v>
      </c>
      <c r="G147" s="5" t="str">
        <f>IFERROR(__xludf.DUMMYFUNCTION("""COMPUTED_VALUE"""),"65-74 years")</f>
        <v>65-74 years</v>
      </c>
      <c r="H147" s="9">
        <f t="shared" si="2"/>
        <v>30.5</v>
      </c>
      <c r="I147" s="5">
        <f t="shared" si="3"/>
        <v>8</v>
      </c>
      <c r="J147" s="5">
        <f t="shared" si="4"/>
        <v>25222950.82</v>
      </c>
    </row>
    <row r="148">
      <c r="A148" s="11">
        <v>9.0</v>
      </c>
      <c r="B148" s="5" t="str">
        <f>IFERROR(__xludf.DUMMYFUNCTION("""COMPUTED_VALUE"""),"Influenza and pneumonia (J09-J18)")</f>
        <v>Influenza and pneumonia (J09-J18)</v>
      </c>
      <c r="C148" s="8">
        <f>IFERROR(__xludf.DUMMYFUNCTION("""COMPUTED_VALUE"""),7441.0)</f>
        <v>7441</v>
      </c>
      <c r="D148" s="5">
        <f>IFERROR(__xludf.DUMMYFUNCTION("""COMPUTED_VALUE"""),1.6)</f>
        <v>1.6</v>
      </c>
      <c r="E148" s="9">
        <f>IFERROR(__xludf.DUMMYFUNCTION("""COMPUTED_VALUE"""),29.5)</f>
        <v>29.5</v>
      </c>
      <c r="F148" s="5" t="str">
        <f>IFERROR(__xludf.DUMMYFUNCTION("""COMPUTED_VALUE"""),"both sexes")</f>
        <v>both sexes</v>
      </c>
      <c r="G148" s="5" t="str">
        <f>IFERROR(__xludf.DUMMYFUNCTION("""COMPUTED_VALUE"""),"65-74 years")</f>
        <v>65-74 years</v>
      </c>
      <c r="H148" s="9">
        <f t="shared" si="2"/>
        <v>29.5</v>
      </c>
      <c r="I148" s="5">
        <f t="shared" si="3"/>
        <v>8</v>
      </c>
      <c r="J148" s="5">
        <f t="shared" si="4"/>
        <v>25223728.81</v>
      </c>
    </row>
    <row r="149">
      <c r="A149" s="11">
        <v>10.0</v>
      </c>
      <c r="B149" s="5" t="str">
        <f>IFERROR(__xludf.DUMMYFUNCTION("""COMPUTED_VALUE"""),"Chronic liver disease and cirrhosis (K70,K73-K74)")</f>
        <v>Chronic liver disease and cirrhosis (K70,K73-K74)</v>
      </c>
      <c r="C149" s="8">
        <f>IFERROR(__xludf.DUMMYFUNCTION("""COMPUTED_VALUE"""),7087.0)</f>
        <v>7087</v>
      </c>
      <c r="D149" s="5">
        <f>IFERROR(__xludf.DUMMYFUNCTION("""COMPUTED_VALUE"""),1.6)</f>
        <v>1.6</v>
      </c>
      <c r="E149" s="9">
        <f>IFERROR(__xludf.DUMMYFUNCTION("""COMPUTED_VALUE"""),28.1)</f>
        <v>28.1</v>
      </c>
      <c r="F149" s="5" t="str">
        <f>IFERROR(__xludf.DUMMYFUNCTION("""COMPUTED_VALUE"""),"both sexes")</f>
        <v>both sexes</v>
      </c>
      <c r="G149" s="5" t="str">
        <f>IFERROR(__xludf.DUMMYFUNCTION("""COMPUTED_VALUE"""),"65-74 years")</f>
        <v>65-74 years</v>
      </c>
      <c r="H149" s="9">
        <f t="shared" si="2"/>
        <v>28.1</v>
      </c>
      <c r="I149" s="5">
        <f t="shared" si="3"/>
        <v>8</v>
      </c>
      <c r="J149" s="5">
        <f t="shared" si="4"/>
        <v>25220640.57</v>
      </c>
    </row>
    <row r="150">
      <c r="A150" s="11">
        <v>11.0</v>
      </c>
      <c r="B150" s="5" t="str">
        <f>IFERROR(__xludf.DUMMYFUNCTION("""COMPUTED_VALUE"""),"Alzheimer's disease (G30)")</f>
        <v>Alzheimer's disease (G30)</v>
      </c>
      <c r="C150" s="8">
        <f>IFERROR(__xludf.DUMMYFUNCTION("""COMPUTED_VALUE"""),4561.0)</f>
        <v>4561</v>
      </c>
      <c r="D150" s="5">
        <f>IFERROR(__xludf.DUMMYFUNCTION("""COMPUTED_VALUE"""),1.0)</f>
        <v>1</v>
      </c>
      <c r="E150" s="9">
        <f>IFERROR(__xludf.DUMMYFUNCTION("""COMPUTED_VALUE"""),18.1)</f>
        <v>18.1</v>
      </c>
      <c r="F150" s="5" t="str">
        <f>IFERROR(__xludf.DUMMYFUNCTION("""COMPUTED_VALUE"""),"both sexes")</f>
        <v>both sexes</v>
      </c>
      <c r="G150" s="5" t="str">
        <f>IFERROR(__xludf.DUMMYFUNCTION("""COMPUTED_VALUE"""),"65-74 years")</f>
        <v>65-74 years</v>
      </c>
      <c r="H150" s="9">
        <f t="shared" si="2"/>
        <v>18.1</v>
      </c>
      <c r="I150" s="5">
        <f t="shared" si="3"/>
        <v>8</v>
      </c>
      <c r="J150" s="5">
        <f t="shared" si="4"/>
        <v>25198895.03</v>
      </c>
    </row>
    <row r="151">
      <c r="A151" s="11">
        <v>12.0</v>
      </c>
      <c r="B151" s="5" t="str">
        <f>IFERROR(__xludf.DUMMYFUNCTION("""COMPUTED_VALUE"""),"Essential hypertension and hypertensive renal disease (I10,I12,I15)")</f>
        <v>Essential hypertension and hypertensive renal disease (I10,I12,I15)</v>
      </c>
      <c r="C151" s="8">
        <f>IFERROR(__xludf.DUMMYFUNCTION("""COMPUTED_VALUE"""),4357.0)</f>
        <v>4357</v>
      </c>
      <c r="D151" s="5">
        <f>IFERROR(__xludf.DUMMYFUNCTION("""COMPUTED_VALUE"""),1.0)</f>
        <v>1</v>
      </c>
      <c r="E151" s="9">
        <f>IFERROR(__xludf.DUMMYFUNCTION("""COMPUTED_VALUE"""),17.3)</f>
        <v>17.3</v>
      </c>
      <c r="F151" s="5" t="str">
        <f>IFERROR(__xludf.DUMMYFUNCTION("""COMPUTED_VALUE"""),"both sexes")</f>
        <v>both sexes</v>
      </c>
      <c r="G151" s="5" t="str">
        <f>IFERROR(__xludf.DUMMYFUNCTION("""COMPUTED_VALUE"""),"65-74 years")</f>
        <v>65-74 years</v>
      </c>
      <c r="H151" s="9">
        <f t="shared" si="2"/>
        <v>17.3</v>
      </c>
      <c r="I151" s="5">
        <f t="shared" si="3"/>
        <v>8</v>
      </c>
      <c r="J151" s="5">
        <f t="shared" si="4"/>
        <v>25184971.1</v>
      </c>
    </row>
    <row r="152">
      <c r="A152" s="11">
        <v>13.0</v>
      </c>
      <c r="B152" s="5" t="str">
        <f>IFERROR(__xludf.DUMMYFUNCTION("""COMPUTED_VALUE"""),"Intentional self-harm (suicide) (*U03,X60-X84,Y87.0)")</f>
        <v>Intentional self-harm (suicide) (*U03,X60-X84,Y87.0)</v>
      </c>
      <c r="C152" s="8">
        <f>IFERROR(__xludf.DUMMYFUNCTION("""COMPUTED_VALUE"""),3794.0)</f>
        <v>3794</v>
      </c>
      <c r="D152" s="5">
        <f>IFERROR(__xludf.DUMMYFUNCTION("""COMPUTED_VALUE"""),0.8)</f>
        <v>0.8</v>
      </c>
      <c r="E152" s="9">
        <f>IFERROR(__xludf.DUMMYFUNCTION("""COMPUTED_VALUE"""),15.0)</f>
        <v>15</v>
      </c>
      <c r="F152" s="5" t="str">
        <f>IFERROR(__xludf.DUMMYFUNCTION("""COMPUTED_VALUE"""),"both sexes")</f>
        <v>both sexes</v>
      </c>
      <c r="G152" s="5" t="str">
        <f>IFERROR(__xludf.DUMMYFUNCTION("""COMPUTED_VALUE"""),"65-74 years")</f>
        <v>65-74 years</v>
      </c>
      <c r="H152" s="9">
        <f t="shared" si="2"/>
        <v>15</v>
      </c>
      <c r="I152" s="5">
        <f t="shared" si="3"/>
        <v>8</v>
      </c>
      <c r="J152" s="5">
        <f t="shared" si="4"/>
        <v>25293333.33</v>
      </c>
    </row>
    <row r="153">
      <c r="A153" s="11">
        <v>14.0</v>
      </c>
      <c r="B153" s="5" t="str">
        <f>IFERROR(__xludf.DUMMYFUNCTION("""COMPUTED_VALUE"""),"Parkinson's disease (G20-G21)")</f>
        <v>Parkinson's disease (G20-G21)</v>
      </c>
      <c r="C153" s="8">
        <f>IFERROR(__xludf.DUMMYFUNCTION("""COMPUTED_VALUE"""),3215.0)</f>
        <v>3215</v>
      </c>
      <c r="D153" s="5">
        <f>IFERROR(__xludf.DUMMYFUNCTION("""COMPUTED_VALUE"""),0.7)</f>
        <v>0.7</v>
      </c>
      <c r="E153" s="9">
        <f>IFERROR(__xludf.DUMMYFUNCTION("""COMPUTED_VALUE"""),12.7)</f>
        <v>12.7</v>
      </c>
      <c r="F153" s="5" t="str">
        <f>IFERROR(__xludf.DUMMYFUNCTION("""COMPUTED_VALUE"""),"both sexes")</f>
        <v>both sexes</v>
      </c>
      <c r="G153" s="5" t="str">
        <f>IFERROR(__xludf.DUMMYFUNCTION("""COMPUTED_VALUE"""),"65-74 years")</f>
        <v>65-74 years</v>
      </c>
      <c r="H153" s="9">
        <f t="shared" si="2"/>
        <v>12.7</v>
      </c>
      <c r="I153" s="5">
        <f t="shared" si="3"/>
        <v>8</v>
      </c>
      <c r="J153" s="5">
        <f t="shared" si="4"/>
        <v>25314960.63</v>
      </c>
    </row>
    <row r="154">
      <c r="A154" s="11">
        <v>15.0</v>
      </c>
      <c r="B154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154" s="8">
        <f>IFERROR(__xludf.DUMMYFUNCTION("""COMPUTED_VALUE"""),2773.0)</f>
        <v>2773</v>
      </c>
      <c r="D154" s="5">
        <f>IFERROR(__xludf.DUMMYFUNCTION("""COMPUTED_VALUE"""),0.6)</f>
        <v>0.6</v>
      </c>
      <c r="E154" s="9">
        <f>IFERROR(__xludf.DUMMYFUNCTION("""COMPUTED_VALUE"""),11.0)</f>
        <v>11</v>
      </c>
      <c r="F154" s="5" t="str">
        <f>IFERROR(__xludf.DUMMYFUNCTION("""COMPUTED_VALUE"""),"both sexes")</f>
        <v>both sexes</v>
      </c>
      <c r="G154" s="5" t="str">
        <f>IFERROR(__xludf.DUMMYFUNCTION("""COMPUTED_VALUE"""),"65-74 years")</f>
        <v>65-74 years</v>
      </c>
      <c r="H154" s="9">
        <f t="shared" si="2"/>
        <v>11</v>
      </c>
      <c r="I154" s="5">
        <f t="shared" si="3"/>
        <v>8</v>
      </c>
      <c r="J154" s="5">
        <f t="shared" si="4"/>
        <v>25209090.91</v>
      </c>
    </row>
    <row r="155">
      <c r="A155" s="7" t="s">
        <v>12</v>
      </c>
      <c r="B155" s="5" t="str">
        <f>IFERROR(__xludf.DUMMYFUNCTION("""COMPUTED_VALUE"""),"All other causes (Residual)")</f>
        <v>All other causes (Residual)</v>
      </c>
      <c r="C155" s="8">
        <f>IFERROR(__xludf.DUMMYFUNCTION("""COMPUTED_VALUE"""),68429.0)</f>
        <v>68429</v>
      </c>
      <c r="D155" s="5">
        <f>IFERROR(__xludf.DUMMYFUNCTION("""COMPUTED_VALUE"""),15.1)</f>
        <v>15.1</v>
      </c>
      <c r="E155" s="9">
        <f>IFERROR(__xludf.DUMMYFUNCTION("""COMPUTED_VALUE"""),271.4)</f>
        <v>271.4</v>
      </c>
      <c r="F155" s="5" t="str">
        <f>IFERROR(__xludf.DUMMYFUNCTION("""COMPUTED_VALUE"""),"both sexes")</f>
        <v>both sexes</v>
      </c>
      <c r="G155" s="5" t="str">
        <f>IFERROR(__xludf.DUMMYFUNCTION("""COMPUTED_VALUE"""),"65-74 years")</f>
        <v>65-74 years</v>
      </c>
      <c r="H155" s="9">
        <f t="shared" si="2"/>
        <v>271.4</v>
      </c>
      <c r="I155" s="5">
        <f t="shared" si="3"/>
        <v>8</v>
      </c>
      <c r="J155" s="5">
        <f t="shared" si="4"/>
        <v>25213338.25</v>
      </c>
    </row>
    <row r="156">
      <c r="A156" s="7" t="s">
        <v>12</v>
      </c>
      <c r="B156" s="5" t="str">
        <f>IFERROR(__xludf.DUMMYFUNCTION("""COMPUTED_VALUE"""),"All causes")</f>
        <v>All causes</v>
      </c>
      <c r="C156" s="8">
        <f>IFERROR(__xludf.DUMMYFUNCTION("""COMPUTED_VALUE"""),625013.0)</f>
        <v>625013</v>
      </c>
      <c r="D156" s="5">
        <f>IFERROR(__xludf.DUMMYFUNCTION("""COMPUTED_VALUE"""),100.0)</f>
        <v>100</v>
      </c>
      <c r="E156" s="9">
        <f>IFERROR(__xludf.DUMMYFUNCTION("""COMPUTED_VALUE"""),4648.1)</f>
        <v>4648.1</v>
      </c>
      <c r="F156" s="5" t="str">
        <f>IFERROR(__xludf.DUMMYFUNCTION("""COMPUTED_VALUE"""),"both sexes")</f>
        <v>both sexes</v>
      </c>
      <c r="G156" s="5" t="str">
        <f>IFERROR(__xludf.DUMMYFUNCTION("""COMPUTED_VALUE"""),"75-84 years")</f>
        <v>75-84 years</v>
      </c>
      <c r="H156" s="9">
        <f t="shared" si="2"/>
        <v>4648.1</v>
      </c>
      <c r="I156" s="5">
        <f t="shared" si="3"/>
        <v>9</v>
      </c>
      <c r="J156" s="5">
        <f t="shared" si="4"/>
        <v>13446634.11</v>
      </c>
    </row>
    <row r="157">
      <c r="A157" s="11">
        <v>1.0</v>
      </c>
      <c r="B157" s="5" t="str">
        <f>IFERROR(__xludf.DUMMYFUNCTION("""COMPUTED_VALUE"""),"Malignant neoplasms (C00-C97)")</f>
        <v>Malignant neoplasms (C00-C97)</v>
      </c>
      <c r="C157" s="8">
        <f>IFERROR(__xludf.DUMMYFUNCTION("""COMPUTED_VALUE"""),153214.0)</f>
        <v>153214</v>
      </c>
      <c r="D157" s="5">
        <f>IFERROR(__xludf.DUMMYFUNCTION("""COMPUTED_VALUE"""),24.5)</f>
        <v>24.5</v>
      </c>
      <c r="E157" s="9">
        <f>IFERROR(__xludf.DUMMYFUNCTION("""COMPUTED_VALUE"""),1139.4)</f>
        <v>1139.4</v>
      </c>
      <c r="F157" s="5" t="str">
        <f>IFERROR(__xludf.DUMMYFUNCTION("""COMPUTED_VALUE"""),"both sexes")</f>
        <v>both sexes</v>
      </c>
      <c r="G157" s="5" t="str">
        <f>IFERROR(__xludf.DUMMYFUNCTION("""COMPUTED_VALUE"""),"75-84 years")</f>
        <v>75-84 years</v>
      </c>
      <c r="H157" s="9">
        <f t="shared" si="2"/>
        <v>1139.4</v>
      </c>
      <c r="I157" s="5">
        <f t="shared" si="3"/>
        <v>9</v>
      </c>
      <c r="J157" s="5">
        <f t="shared" si="4"/>
        <v>13446901.88</v>
      </c>
    </row>
    <row r="158">
      <c r="A158" s="11">
        <v>2.0</v>
      </c>
      <c r="B158" s="5" t="str">
        <f>IFERROR(__xludf.DUMMYFUNCTION("""COMPUTED_VALUE"""),"Diseases of heart (I00-I09,I11,I13,I20-I51)")</f>
        <v>Diseases of heart (I00-I09,I11,I13,I20-I51)</v>
      </c>
      <c r="C158" s="8">
        <f>IFERROR(__xludf.DUMMYFUNCTION("""COMPUTED_VALUE"""),147255.0)</f>
        <v>147255</v>
      </c>
      <c r="D158" s="5">
        <f>IFERROR(__xludf.DUMMYFUNCTION("""COMPUTED_VALUE"""),23.6)</f>
        <v>23.6</v>
      </c>
      <c r="E158" s="9">
        <f>IFERROR(__xludf.DUMMYFUNCTION("""COMPUTED_VALUE"""),1095.1)</f>
        <v>1095.1</v>
      </c>
      <c r="F158" s="5" t="str">
        <f>IFERROR(__xludf.DUMMYFUNCTION("""COMPUTED_VALUE"""),"both sexes")</f>
        <v>both sexes</v>
      </c>
      <c r="G158" s="5" t="str">
        <f>IFERROR(__xludf.DUMMYFUNCTION("""COMPUTED_VALUE"""),"75-84 years")</f>
        <v>75-84 years</v>
      </c>
      <c r="H158" s="9">
        <f t="shared" si="2"/>
        <v>1095.1</v>
      </c>
      <c r="I158" s="5">
        <f t="shared" si="3"/>
        <v>9</v>
      </c>
      <c r="J158" s="5">
        <f t="shared" si="4"/>
        <v>13446717.19</v>
      </c>
    </row>
    <row r="159">
      <c r="A159" s="11">
        <v>3.0</v>
      </c>
      <c r="B159" s="5" t="str">
        <f>IFERROR(__xludf.DUMMYFUNCTION("""COMPUTED_VALUE"""),"Chronic lower respiratory diseases (J40-J47)")</f>
        <v>Chronic lower respiratory diseases (J40-J47)</v>
      </c>
      <c r="C159" s="8">
        <f>IFERROR(__xludf.DUMMYFUNCTION("""COMPUTED_VALUE"""),49346.0)</f>
        <v>49346</v>
      </c>
      <c r="D159" s="5">
        <f>IFERROR(__xludf.DUMMYFUNCTION("""COMPUTED_VALUE"""),7.9)</f>
        <v>7.9</v>
      </c>
      <c r="E159" s="9">
        <f>IFERROR(__xludf.DUMMYFUNCTION("""COMPUTED_VALUE"""),367.0)</f>
        <v>367</v>
      </c>
      <c r="F159" s="5" t="str">
        <f>IFERROR(__xludf.DUMMYFUNCTION("""COMPUTED_VALUE"""),"both sexes")</f>
        <v>both sexes</v>
      </c>
      <c r="G159" s="5" t="str">
        <f>IFERROR(__xludf.DUMMYFUNCTION("""COMPUTED_VALUE"""),"75-84 years")</f>
        <v>75-84 years</v>
      </c>
      <c r="H159" s="9">
        <f t="shared" si="2"/>
        <v>367</v>
      </c>
      <c r="I159" s="5">
        <f t="shared" si="3"/>
        <v>9</v>
      </c>
      <c r="J159" s="5">
        <f t="shared" si="4"/>
        <v>13445776.57</v>
      </c>
    </row>
    <row r="160">
      <c r="A160" s="11">
        <v>4.0</v>
      </c>
      <c r="B160" s="5" t="str">
        <f>IFERROR(__xludf.DUMMYFUNCTION("""COMPUTED_VALUE"""),"Cerebrovascular diseases (I60-I69)")</f>
        <v>Cerebrovascular diseases (I60-I69)</v>
      </c>
      <c r="C160" s="8">
        <f>IFERROR(__xludf.DUMMYFUNCTION("""COMPUTED_VALUE"""),36151.0)</f>
        <v>36151</v>
      </c>
      <c r="D160" s="5">
        <f>IFERROR(__xludf.DUMMYFUNCTION("""COMPUTED_VALUE"""),5.8)</f>
        <v>5.8</v>
      </c>
      <c r="E160" s="9">
        <f>IFERROR(__xludf.DUMMYFUNCTION("""COMPUTED_VALUE"""),268.9)</f>
        <v>268.9</v>
      </c>
      <c r="F160" s="5" t="str">
        <f>IFERROR(__xludf.DUMMYFUNCTION("""COMPUTED_VALUE"""),"both sexes")</f>
        <v>both sexes</v>
      </c>
      <c r="G160" s="5" t="str">
        <f>IFERROR(__xludf.DUMMYFUNCTION("""COMPUTED_VALUE"""),"75-84 years")</f>
        <v>75-84 years</v>
      </c>
      <c r="H160" s="9">
        <f t="shared" si="2"/>
        <v>268.9</v>
      </c>
      <c r="I160" s="5">
        <f t="shared" si="3"/>
        <v>9</v>
      </c>
      <c r="J160" s="5">
        <f t="shared" si="4"/>
        <v>13444031.24</v>
      </c>
    </row>
    <row r="161">
      <c r="A161" s="11">
        <v>5.0</v>
      </c>
      <c r="B161" s="5" t="str">
        <f>IFERROR(__xludf.DUMMYFUNCTION("""COMPUTED_VALUE"""),"Alzheimer's disease (G30)")</f>
        <v>Alzheimer's disease (G30)</v>
      </c>
      <c r="C161" s="8">
        <f>IFERROR(__xludf.DUMMYFUNCTION("""COMPUTED_VALUE"""),23073.0)</f>
        <v>23073</v>
      </c>
      <c r="D161" s="5">
        <f>IFERROR(__xludf.DUMMYFUNCTION("""COMPUTED_VALUE"""),3.7)</f>
        <v>3.7</v>
      </c>
      <c r="E161" s="9">
        <f>IFERROR(__xludf.DUMMYFUNCTION("""COMPUTED_VALUE"""),171.6)</f>
        <v>171.6</v>
      </c>
      <c r="F161" s="5" t="str">
        <f>IFERROR(__xludf.DUMMYFUNCTION("""COMPUTED_VALUE"""),"both sexes")</f>
        <v>both sexes</v>
      </c>
      <c r="G161" s="5" t="str">
        <f>IFERROR(__xludf.DUMMYFUNCTION("""COMPUTED_VALUE"""),"75-84 years")</f>
        <v>75-84 years</v>
      </c>
      <c r="H161" s="9">
        <f t="shared" si="2"/>
        <v>171.6</v>
      </c>
      <c r="I161" s="5">
        <f t="shared" si="3"/>
        <v>9</v>
      </c>
      <c r="J161" s="5">
        <f t="shared" si="4"/>
        <v>13445804.2</v>
      </c>
    </row>
    <row r="162">
      <c r="A162" s="11">
        <v>6.0</v>
      </c>
      <c r="B162" s="5" t="str">
        <f>IFERROR(__xludf.DUMMYFUNCTION("""COMPUTED_VALUE"""),"Diabetes mellitus (E10-E14)")</f>
        <v>Diabetes mellitus (E10-E14)</v>
      </c>
      <c r="C162" s="8">
        <f>IFERROR(__xludf.DUMMYFUNCTION("""COMPUTED_VALUE"""),19587.0)</f>
        <v>19587</v>
      </c>
      <c r="D162" s="5">
        <f>IFERROR(__xludf.DUMMYFUNCTION("""COMPUTED_VALUE"""),3.1)</f>
        <v>3.1</v>
      </c>
      <c r="E162" s="9">
        <f>IFERROR(__xludf.DUMMYFUNCTION("""COMPUTED_VALUE"""),145.7)</f>
        <v>145.7</v>
      </c>
      <c r="F162" s="5" t="str">
        <f>IFERROR(__xludf.DUMMYFUNCTION("""COMPUTED_VALUE"""),"both sexes")</f>
        <v>both sexes</v>
      </c>
      <c r="G162" s="5" t="str">
        <f>IFERROR(__xludf.DUMMYFUNCTION("""COMPUTED_VALUE"""),"75-84 years")</f>
        <v>75-84 years</v>
      </c>
      <c r="H162" s="9">
        <f t="shared" si="2"/>
        <v>145.7</v>
      </c>
      <c r="I162" s="5">
        <f t="shared" si="3"/>
        <v>9</v>
      </c>
      <c r="J162" s="5">
        <f t="shared" si="4"/>
        <v>13443376.8</v>
      </c>
    </row>
    <row r="163">
      <c r="A163" s="11">
        <v>7.0</v>
      </c>
      <c r="B163" s="5" t="str">
        <f>IFERROR(__xludf.DUMMYFUNCTION("""COMPUTED_VALUE"""),"Accidents (unintentional injuries) (V01-X59,Y85-Y86)")</f>
        <v>Accidents (unintentional injuries) (V01-X59,Y85-Y86)</v>
      </c>
      <c r="C163" s="8">
        <f>IFERROR(__xludf.DUMMYFUNCTION("""COMPUTED_VALUE"""),14438.0)</f>
        <v>14438</v>
      </c>
      <c r="D163" s="5">
        <f>IFERROR(__xludf.DUMMYFUNCTION("""COMPUTED_VALUE"""),2.3)</f>
        <v>2.3</v>
      </c>
      <c r="E163" s="9">
        <f>IFERROR(__xludf.DUMMYFUNCTION("""COMPUTED_VALUE"""),107.4)</f>
        <v>107.4</v>
      </c>
      <c r="F163" s="5" t="str">
        <f>IFERROR(__xludf.DUMMYFUNCTION("""COMPUTED_VALUE"""),"both sexes")</f>
        <v>both sexes</v>
      </c>
      <c r="G163" s="5" t="str">
        <f>IFERROR(__xludf.DUMMYFUNCTION("""COMPUTED_VALUE"""),"75-84 years")</f>
        <v>75-84 years</v>
      </c>
      <c r="H163" s="9">
        <f t="shared" si="2"/>
        <v>107.4</v>
      </c>
      <c r="I163" s="5">
        <f t="shared" si="3"/>
        <v>9</v>
      </c>
      <c r="J163" s="5">
        <f t="shared" si="4"/>
        <v>13443202.98</v>
      </c>
    </row>
    <row r="164">
      <c r="A164" s="11">
        <v>8.0</v>
      </c>
      <c r="B164" s="5" t="str">
        <f>IFERROR(__xludf.DUMMYFUNCTION("""COMPUTED_VALUE"""),"Influenza and pneumonia (J09-J18)")</f>
        <v>Influenza and pneumonia (J09-J18)</v>
      </c>
      <c r="C164" s="8">
        <f>IFERROR(__xludf.DUMMYFUNCTION("""COMPUTED_VALUE"""),13949.0)</f>
        <v>13949</v>
      </c>
      <c r="D164" s="5">
        <f>IFERROR(__xludf.DUMMYFUNCTION("""COMPUTED_VALUE"""),2.2)</f>
        <v>2.2</v>
      </c>
      <c r="E164" s="9">
        <f>IFERROR(__xludf.DUMMYFUNCTION("""COMPUTED_VALUE"""),103.7)</f>
        <v>103.7</v>
      </c>
      <c r="F164" s="5" t="str">
        <f>IFERROR(__xludf.DUMMYFUNCTION("""COMPUTED_VALUE"""),"both sexes")</f>
        <v>both sexes</v>
      </c>
      <c r="G164" s="5" t="str">
        <f>IFERROR(__xludf.DUMMYFUNCTION("""COMPUTED_VALUE"""),"75-84 years")</f>
        <v>75-84 years</v>
      </c>
      <c r="H164" s="9">
        <f t="shared" si="2"/>
        <v>103.7</v>
      </c>
      <c r="I164" s="5">
        <f t="shared" si="3"/>
        <v>9</v>
      </c>
      <c r="J164" s="5">
        <f t="shared" si="4"/>
        <v>13451301.83</v>
      </c>
    </row>
    <row r="165">
      <c r="A165" s="11">
        <v>9.0</v>
      </c>
      <c r="B165" s="5" t="str">
        <f>IFERROR(__xludf.DUMMYFUNCTION("""COMPUTED_VALUE"""),"Nephritis, nephrotic syndrome and nephrosis (N00-N07,N17-N19,N25-N27)")</f>
        <v>Nephritis, nephrotic syndrome and nephrosis (N00-N07,N17-N19,N25-N27)</v>
      </c>
      <c r="C165" s="8">
        <f>IFERROR(__xludf.DUMMYFUNCTION("""COMPUTED_VALUE"""),13317.0)</f>
        <v>13317</v>
      </c>
      <c r="D165" s="5">
        <f>IFERROR(__xludf.DUMMYFUNCTION("""COMPUTED_VALUE"""),2.1)</f>
        <v>2.1</v>
      </c>
      <c r="E165" s="9">
        <f>IFERROR(__xludf.DUMMYFUNCTION("""COMPUTED_VALUE"""),99.0)</f>
        <v>99</v>
      </c>
      <c r="F165" s="5" t="str">
        <f>IFERROR(__xludf.DUMMYFUNCTION("""COMPUTED_VALUE"""),"both sexes")</f>
        <v>both sexes</v>
      </c>
      <c r="G165" s="5" t="str">
        <f>IFERROR(__xludf.DUMMYFUNCTION("""COMPUTED_VALUE"""),"75-84 years")</f>
        <v>75-84 years</v>
      </c>
      <c r="H165" s="9">
        <f t="shared" si="2"/>
        <v>99</v>
      </c>
      <c r="I165" s="5">
        <f t="shared" si="3"/>
        <v>9</v>
      </c>
      <c r="J165" s="5">
        <f t="shared" si="4"/>
        <v>13451515.15</v>
      </c>
    </row>
    <row r="166">
      <c r="A166" s="11">
        <v>10.0</v>
      </c>
      <c r="B166" s="5" t="str">
        <f>IFERROR(__xludf.DUMMYFUNCTION("""COMPUTED_VALUE"""),"Parkinson's disease (G20-G21)")</f>
        <v>Parkinson's disease (G20-G21)</v>
      </c>
      <c r="C166" s="8">
        <f>IFERROR(__xludf.DUMMYFUNCTION("""COMPUTED_VALUE"""),10549.0)</f>
        <v>10549</v>
      </c>
      <c r="D166" s="5">
        <f>IFERROR(__xludf.DUMMYFUNCTION("""COMPUTED_VALUE"""),1.7)</f>
        <v>1.7</v>
      </c>
      <c r="E166" s="9">
        <f>IFERROR(__xludf.DUMMYFUNCTION("""COMPUTED_VALUE"""),78.5)</f>
        <v>78.5</v>
      </c>
      <c r="F166" s="5" t="str">
        <f>IFERROR(__xludf.DUMMYFUNCTION("""COMPUTED_VALUE"""),"both sexes")</f>
        <v>both sexes</v>
      </c>
      <c r="G166" s="5" t="str">
        <f>IFERROR(__xludf.DUMMYFUNCTION("""COMPUTED_VALUE"""),"75-84 years")</f>
        <v>75-84 years</v>
      </c>
      <c r="H166" s="9">
        <f t="shared" si="2"/>
        <v>78.5</v>
      </c>
      <c r="I166" s="5">
        <f t="shared" si="3"/>
        <v>9</v>
      </c>
      <c r="J166" s="5">
        <f t="shared" si="4"/>
        <v>13438216.56</v>
      </c>
    </row>
    <row r="167">
      <c r="A167" s="11">
        <v>11.0</v>
      </c>
      <c r="B167" s="5" t="str">
        <f>IFERROR(__xludf.DUMMYFUNCTION("""COMPUTED_VALUE"""),"Septicemia (A40-A41)")</f>
        <v>Septicemia (A40-A41)</v>
      </c>
      <c r="C167" s="8">
        <f>IFERROR(__xludf.DUMMYFUNCTION("""COMPUTED_VALUE"""),10274.0)</f>
        <v>10274</v>
      </c>
      <c r="D167" s="5">
        <f>IFERROR(__xludf.DUMMYFUNCTION("""COMPUTED_VALUE"""),1.6)</f>
        <v>1.6</v>
      </c>
      <c r="E167" s="9">
        <f>IFERROR(__xludf.DUMMYFUNCTION("""COMPUTED_VALUE"""),76.4)</f>
        <v>76.4</v>
      </c>
      <c r="F167" s="5" t="str">
        <f>IFERROR(__xludf.DUMMYFUNCTION("""COMPUTED_VALUE"""),"both sexes")</f>
        <v>both sexes</v>
      </c>
      <c r="G167" s="5" t="str">
        <f>IFERROR(__xludf.DUMMYFUNCTION("""COMPUTED_VALUE"""),"75-84 years")</f>
        <v>75-84 years</v>
      </c>
      <c r="H167" s="9">
        <f t="shared" si="2"/>
        <v>76.4</v>
      </c>
      <c r="I167" s="5">
        <f t="shared" si="3"/>
        <v>9</v>
      </c>
      <c r="J167" s="5">
        <f t="shared" si="4"/>
        <v>13447643.98</v>
      </c>
    </row>
    <row r="168">
      <c r="A168" s="11">
        <v>12.0</v>
      </c>
      <c r="B168" s="5" t="str">
        <f>IFERROR(__xludf.DUMMYFUNCTION("""COMPUTED_VALUE"""),"Essential hypertension and hypertensive renal disease (I10,I12,I15)")</f>
        <v>Essential hypertension and hypertensive renal disease (I10,I12,I15)</v>
      </c>
      <c r="C168" s="8">
        <f>IFERROR(__xludf.DUMMYFUNCTION("""COMPUTED_VALUE"""),7216.0)</f>
        <v>7216</v>
      </c>
      <c r="D168" s="5">
        <f>IFERROR(__xludf.DUMMYFUNCTION("""COMPUTED_VALUE"""),1.2)</f>
        <v>1.2</v>
      </c>
      <c r="E168" s="9">
        <f>IFERROR(__xludf.DUMMYFUNCTION("""COMPUTED_VALUE"""),53.7)</f>
        <v>53.7</v>
      </c>
      <c r="F168" s="5" t="str">
        <f>IFERROR(__xludf.DUMMYFUNCTION("""COMPUTED_VALUE"""),"both sexes")</f>
        <v>both sexes</v>
      </c>
      <c r="G168" s="5" t="str">
        <f>IFERROR(__xludf.DUMMYFUNCTION("""COMPUTED_VALUE"""),"75-84 years")</f>
        <v>75-84 years</v>
      </c>
      <c r="H168" s="9">
        <f t="shared" si="2"/>
        <v>53.7</v>
      </c>
      <c r="I168" s="5">
        <f t="shared" si="3"/>
        <v>9</v>
      </c>
      <c r="J168" s="5">
        <f t="shared" si="4"/>
        <v>13437616.39</v>
      </c>
    </row>
    <row r="169">
      <c r="A169" s="11">
        <v>13.0</v>
      </c>
      <c r="B169" s="5" t="str">
        <f>IFERROR(__xludf.DUMMYFUNCTION("""COMPUTED_VALUE"""),"Pneumonitis due to solids and liquids (J69)")</f>
        <v>Pneumonitis due to solids and liquids (J69)</v>
      </c>
      <c r="C169" s="8">
        <f>IFERROR(__xludf.DUMMYFUNCTION("""COMPUTED_VALUE"""),4933.0)</f>
        <v>4933</v>
      </c>
      <c r="D169" s="5">
        <f>IFERROR(__xludf.DUMMYFUNCTION("""COMPUTED_VALUE"""),0.8)</f>
        <v>0.8</v>
      </c>
      <c r="E169" s="9">
        <f>IFERROR(__xludf.DUMMYFUNCTION("""COMPUTED_VALUE"""),36.7)</f>
        <v>36.7</v>
      </c>
      <c r="F169" s="5" t="str">
        <f>IFERROR(__xludf.DUMMYFUNCTION("""COMPUTED_VALUE"""),"both sexes")</f>
        <v>both sexes</v>
      </c>
      <c r="G169" s="5" t="str">
        <f>IFERROR(__xludf.DUMMYFUNCTION("""COMPUTED_VALUE"""),"75-84 years")</f>
        <v>75-84 years</v>
      </c>
      <c r="H169" s="9">
        <f t="shared" si="2"/>
        <v>36.7</v>
      </c>
      <c r="I169" s="5">
        <f t="shared" si="3"/>
        <v>9</v>
      </c>
      <c r="J169" s="5">
        <f t="shared" si="4"/>
        <v>13441416.89</v>
      </c>
    </row>
    <row r="170">
      <c r="A170" s="11">
        <v>14.0</v>
      </c>
      <c r="B170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170" s="8">
        <f>IFERROR(__xludf.DUMMYFUNCTION("""COMPUTED_VALUE"""),4554.0)</f>
        <v>4554</v>
      </c>
      <c r="D170" s="5">
        <f>IFERROR(__xludf.DUMMYFUNCTION("""COMPUTED_VALUE"""),0.7)</f>
        <v>0.7</v>
      </c>
      <c r="E170" s="9">
        <f>IFERROR(__xludf.DUMMYFUNCTION("""COMPUTED_VALUE"""),33.9)</f>
        <v>33.9</v>
      </c>
      <c r="F170" s="5" t="str">
        <f>IFERROR(__xludf.DUMMYFUNCTION("""COMPUTED_VALUE"""),"both sexes")</f>
        <v>both sexes</v>
      </c>
      <c r="G170" s="5" t="str">
        <f>IFERROR(__xludf.DUMMYFUNCTION("""COMPUTED_VALUE"""),"75-84 years")</f>
        <v>75-84 years</v>
      </c>
      <c r="H170" s="9">
        <f t="shared" si="2"/>
        <v>33.9</v>
      </c>
      <c r="I170" s="5">
        <f t="shared" si="3"/>
        <v>9</v>
      </c>
      <c r="J170" s="5">
        <f t="shared" si="4"/>
        <v>13433628.32</v>
      </c>
    </row>
    <row r="171">
      <c r="A171" s="11">
        <v>15.0</v>
      </c>
      <c r="B171" s="5" t="str">
        <f>IFERROR(__xludf.DUMMYFUNCTION("""COMPUTED_VALUE"""),"Chronic liver disease and cirrhosis (K70,K73-K74)")</f>
        <v>Chronic liver disease and cirrhosis (K70,K73-K74)</v>
      </c>
      <c r="C171" s="8">
        <f>IFERROR(__xludf.DUMMYFUNCTION("""COMPUTED_VALUE"""),4014.0)</f>
        <v>4014</v>
      </c>
      <c r="D171" s="5">
        <f>IFERROR(__xludf.DUMMYFUNCTION("""COMPUTED_VALUE"""),0.6)</f>
        <v>0.6</v>
      </c>
      <c r="E171" s="9">
        <f>IFERROR(__xludf.DUMMYFUNCTION("""COMPUTED_VALUE"""),29.9)</f>
        <v>29.9</v>
      </c>
      <c r="F171" s="5" t="str">
        <f>IFERROR(__xludf.DUMMYFUNCTION("""COMPUTED_VALUE"""),"both sexes")</f>
        <v>both sexes</v>
      </c>
      <c r="G171" s="5" t="str">
        <f>IFERROR(__xludf.DUMMYFUNCTION("""COMPUTED_VALUE"""),"75-84 years")</f>
        <v>75-84 years</v>
      </c>
      <c r="H171" s="9">
        <f t="shared" si="2"/>
        <v>29.9</v>
      </c>
      <c r="I171" s="5">
        <f t="shared" si="3"/>
        <v>9</v>
      </c>
      <c r="J171" s="5">
        <f t="shared" si="4"/>
        <v>13424749.16</v>
      </c>
    </row>
    <row r="172">
      <c r="A172" s="7" t="s">
        <v>12</v>
      </c>
      <c r="B172" s="5" t="str">
        <f>IFERROR(__xludf.DUMMYFUNCTION("""COMPUTED_VALUE"""),"All other causes (Residual)")</f>
        <v>All other causes (Residual)</v>
      </c>
      <c r="C172" s="8">
        <f>IFERROR(__xludf.DUMMYFUNCTION("""COMPUTED_VALUE"""),113143.0)</f>
        <v>113143</v>
      </c>
      <c r="D172" s="5">
        <f>IFERROR(__xludf.DUMMYFUNCTION("""COMPUTED_VALUE"""),18.1)</f>
        <v>18.1</v>
      </c>
      <c r="E172" s="9">
        <f>IFERROR(__xludf.DUMMYFUNCTION("""COMPUTED_VALUE"""),841.4)</f>
        <v>841.4</v>
      </c>
      <c r="F172" s="5" t="str">
        <f>IFERROR(__xludf.DUMMYFUNCTION("""COMPUTED_VALUE"""),"both sexes")</f>
        <v>both sexes</v>
      </c>
      <c r="G172" s="5" t="str">
        <f>IFERROR(__xludf.DUMMYFUNCTION("""COMPUTED_VALUE"""),"75-84 years")</f>
        <v>75-84 years</v>
      </c>
      <c r="H172" s="9">
        <f t="shared" si="2"/>
        <v>841.4</v>
      </c>
      <c r="I172" s="5">
        <f t="shared" si="3"/>
        <v>9</v>
      </c>
      <c r="J172" s="5">
        <f t="shared" si="4"/>
        <v>13446993.11</v>
      </c>
    </row>
    <row r="173">
      <c r="A173" s="7" t="s">
        <v>12</v>
      </c>
      <c r="B173" s="5" t="str">
        <f>IFERROR(__xludf.DUMMYFUNCTION("""COMPUTED_VALUE"""),"All causes")</f>
        <v>All causes</v>
      </c>
      <c r="C173" s="8">
        <f>IFERROR(__xludf.DUMMYFUNCTION("""COMPUTED_VALUE"""),825198.0)</f>
        <v>825198</v>
      </c>
      <c r="D173" s="5">
        <f>IFERROR(__xludf.DUMMYFUNCTION("""COMPUTED_VALUE"""),100.0)</f>
        <v>100</v>
      </c>
      <c r="E173" s="9">
        <f>IFERROR(__xludf.DUMMYFUNCTION("""COMPUTED_VALUE"""),13660.4)</f>
        <v>13660.4</v>
      </c>
      <c r="F173" s="5" t="str">
        <f>IFERROR(__xludf.DUMMYFUNCTION("""COMPUTED_VALUE"""),"both sexes")</f>
        <v>both sexes</v>
      </c>
      <c r="G173" s="5" t="str">
        <f>IFERROR(__xludf.DUMMYFUNCTION("""COMPUTED_VALUE"""),"85 years and over")</f>
        <v>85 years and over</v>
      </c>
      <c r="H173" s="9">
        <f t="shared" si="2"/>
        <v>13660.4</v>
      </c>
      <c r="I173" s="5">
        <f t="shared" si="3"/>
        <v>10</v>
      </c>
      <c r="J173" s="5">
        <f t="shared" si="4"/>
        <v>6040804.076</v>
      </c>
    </row>
    <row r="174">
      <c r="A174" s="11">
        <v>1.0</v>
      </c>
      <c r="B174" s="5" t="str">
        <f>IFERROR(__xludf.DUMMYFUNCTION("""COMPUTED_VALUE"""),"Diseases of heart (I00-I09,I11,I13,I20-I51)")</f>
        <v>Diseases of heart (I00-I09,I11,I13,I20-I51)</v>
      </c>
      <c r="C174" s="8">
        <f>IFERROR(__xludf.DUMMYFUNCTION("""COMPUTED_VALUE"""),242469.0)</f>
        <v>242469</v>
      </c>
      <c r="D174" s="5">
        <f>IFERROR(__xludf.DUMMYFUNCTION("""COMPUTED_VALUE"""),29.4)</f>
        <v>29.4</v>
      </c>
      <c r="E174" s="9">
        <f>IFERROR(__xludf.DUMMYFUNCTION("""COMPUTED_VALUE"""),4013.9)</f>
        <v>4013.9</v>
      </c>
      <c r="F174" s="5" t="str">
        <f>IFERROR(__xludf.DUMMYFUNCTION("""COMPUTED_VALUE"""),"both sexes")</f>
        <v>both sexes</v>
      </c>
      <c r="G174" s="5" t="str">
        <f>IFERROR(__xludf.DUMMYFUNCTION("""COMPUTED_VALUE"""),"85 years and over")</f>
        <v>85 years and over</v>
      </c>
      <c r="H174" s="9">
        <f t="shared" si="2"/>
        <v>4013.9</v>
      </c>
      <c r="I174" s="5">
        <f t="shared" si="3"/>
        <v>10</v>
      </c>
      <c r="J174" s="5">
        <f t="shared" si="4"/>
        <v>6040733.451</v>
      </c>
    </row>
    <row r="175">
      <c r="A175" s="11">
        <v>2.0</v>
      </c>
      <c r="B175" s="5" t="str">
        <f>IFERROR(__xludf.DUMMYFUNCTION("""COMPUTED_VALUE"""),"Malignant neoplasms (C00-C97)")</f>
        <v>Malignant neoplasms (C00-C97)</v>
      </c>
      <c r="C175" s="8">
        <f>IFERROR(__xludf.DUMMYFUNCTION("""COMPUTED_VALUE"""),98792.0)</f>
        <v>98792</v>
      </c>
      <c r="D175" s="5">
        <f>IFERROR(__xludf.DUMMYFUNCTION("""COMPUTED_VALUE"""),12.0)</f>
        <v>12</v>
      </c>
      <c r="E175" s="9">
        <f>IFERROR(__xludf.DUMMYFUNCTION("""COMPUTED_VALUE"""),1635.4)</f>
        <v>1635.4</v>
      </c>
      <c r="F175" s="5" t="str">
        <f>IFERROR(__xludf.DUMMYFUNCTION("""COMPUTED_VALUE"""),"both sexes")</f>
        <v>both sexes</v>
      </c>
      <c r="G175" s="5" t="str">
        <f>IFERROR(__xludf.DUMMYFUNCTION("""COMPUTED_VALUE"""),"85 years and over")</f>
        <v>85 years and over</v>
      </c>
      <c r="H175" s="9">
        <f t="shared" si="2"/>
        <v>1635.4</v>
      </c>
      <c r="I175" s="5">
        <f t="shared" si="3"/>
        <v>10</v>
      </c>
      <c r="J175" s="5">
        <f t="shared" si="4"/>
        <v>6040846.276</v>
      </c>
    </row>
    <row r="176">
      <c r="A176" s="11">
        <v>3.0</v>
      </c>
      <c r="B176" s="5" t="str">
        <f>IFERROR(__xludf.DUMMYFUNCTION("""COMPUTED_VALUE"""),"Alzheimer's disease (G30)")</f>
        <v>Alzheimer's disease (G30)</v>
      </c>
      <c r="C176" s="8">
        <f>IFERROR(__xludf.DUMMYFUNCTION("""COMPUTED_VALUE"""),56152.0)</f>
        <v>56152</v>
      </c>
      <c r="D176" s="5">
        <f>IFERROR(__xludf.DUMMYFUNCTION("""COMPUTED_VALUE"""),6.8)</f>
        <v>6.8</v>
      </c>
      <c r="E176" s="9">
        <f>IFERROR(__xludf.DUMMYFUNCTION("""COMPUTED_VALUE"""),929.5)</f>
        <v>929.5</v>
      </c>
      <c r="F176" s="5" t="str">
        <f>IFERROR(__xludf.DUMMYFUNCTION("""COMPUTED_VALUE"""),"both sexes")</f>
        <v>both sexes</v>
      </c>
      <c r="G176" s="5" t="str">
        <f>IFERROR(__xludf.DUMMYFUNCTION("""COMPUTED_VALUE"""),"85 years and over")</f>
        <v>85 years and over</v>
      </c>
      <c r="H176" s="9">
        <f t="shared" si="2"/>
        <v>929.5</v>
      </c>
      <c r="I176" s="5">
        <f t="shared" si="3"/>
        <v>10</v>
      </c>
      <c r="J176" s="5">
        <f t="shared" si="4"/>
        <v>6041097.364</v>
      </c>
    </row>
    <row r="177">
      <c r="A177" s="11">
        <v>4.0</v>
      </c>
      <c r="B177" s="5" t="str">
        <f>IFERROR(__xludf.DUMMYFUNCTION("""COMPUTED_VALUE"""),"Cerebrovascular diseases (I60-I69)")</f>
        <v>Cerebrovascular diseases (I60-I69)</v>
      </c>
      <c r="C177" s="8">
        <f>IFERROR(__xludf.DUMMYFUNCTION("""COMPUTED_VALUE"""),54729.0)</f>
        <v>54729</v>
      </c>
      <c r="D177" s="5">
        <f>IFERROR(__xludf.DUMMYFUNCTION("""COMPUTED_VALUE"""),6.6)</f>
        <v>6.6</v>
      </c>
      <c r="E177" s="9">
        <f>IFERROR(__xludf.DUMMYFUNCTION("""COMPUTED_VALUE"""),906.0)</f>
        <v>906</v>
      </c>
      <c r="F177" s="5" t="str">
        <f>IFERROR(__xludf.DUMMYFUNCTION("""COMPUTED_VALUE"""),"both sexes")</f>
        <v>both sexes</v>
      </c>
      <c r="G177" s="5" t="str">
        <f>IFERROR(__xludf.DUMMYFUNCTION("""COMPUTED_VALUE"""),"85 years and over")</f>
        <v>85 years and over</v>
      </c>
      <c r="H177" s="9">
        <f t="shared" si="2"/>
        <v>906</v>
      </c>
      <c r="I177" s="5">
        <f t="shared" si="3"/>
        <v>10</v>
      </c>
      <c r="J177" s="5">
        <f t="shared" si="4"/>
        <v>6040728.477</v>
      </c>
    </row>
    <row r="178">
      <c r="A178" s="11">
        <v>5.0</v>
      </c>
      <c r="B178" s="5" t="str">
        <f>IFERROR(__xludf.DUMMYFUNCTION("""COMPUTED_VALUE"""),"Chronic lower respiratory diseases (J40-J47)")</f>
        <v>Chronic lower respiratory diseases (J40-J47)</v>
      </c>
      <c r="C178" s="8">
        <f>IFERROR(__xludf.DUMMYFUNCTION("""COMPUTED_VALUE"""),42245.0)</f>
        <v>42245</v>
      </c>
      <c r="D178" s="5">
        <f>IFERROR(__xludf.DUMMYFUNCTION("""COMPUTED_VALUE"""),5.1)</f>
        <v>5.1</v>
      </c>
      <c r="E178" s="9">
        <f>IFERROR(__xludf.DUMMYFUNCTION("""COMPUTED_VALUE"""),699.3)</f>
        <v>699.3</v>
      </c>
      <c r="F178" s="5" t="str">
        <f>IFERROR(__xludf.DUMMYFUNCTION("""COMPUTED_VALUE"""),"both sexes")</f>
        <v>both sexes</v>
      </c>
      <c r="G178" s="5" t="str">
        <f>IFERROR(__xludf.DUMMYFUNCTION("""COMPUTED_VALUE"""),"85 years and over")</f>
        <v>85 years and over</v>
      </c>
      <c r="H178" s="9">
        <f t="shared" si="2"/>
        <v>699.3</v>
      </c>
      <c r="I178" s="5">
        <f t="shared" si="3"/>
        <v>10</v>
      </c>
      <c r="J178" s="5">
        <f t="shared" si="4"/>
        <v>6041041.041</v>
      </c>
    </row>
    <row r="179">
      <c r="A179" s="11">
        <v>6.0</v>
      </c>
      <c r="B179" s="5" t="str">
        <f>IFERROR(__xludf.DUMMYFUNCTION("""COMPUTED_VALUE"""),"Influenza and pneumonia (J09-J18)")</f>
        <v>Influenza and pneumonia (J09-J18)</v>
      </c>
      <c r="C179" s="8">
        <f>IFERROR(__xludf.DUMMYFUNCTION("""COMPUTED_VALUE"""),26641.0)</f>
        <v>26641</v>
      </c>
      <c r="D179" s="5">
        <f>IFERROR(__xludf.DUMMYFUNCTION("""COMPUTED_VALUE"""),3.2)</f>
        <v>3.2</v>
      </c>
      <c r="E179" s="9">
        <f>IFERROR(__xludf.DUMMYFUNCTION("""COMPUTED_VALUE"""),441.0)</f>
        <v>441</v>
      </c>
      <c r="F179" s="5" t="str">
        <f>IFERROR(__xludf.DUMMYFUNCTION("""COMPUTED_VALUE"""),"both sexes")</f>
        <v>both sexes</v>
      </c>
      <c r="G179" s="5" t="str">
        <f>IFERROR(__xludf.DUMMYFUNCTION("""COMPUTED_VALUE"""),"85 years and over")</f>
        <v>85 years and over</v>
      </c>
      <c r="H179" s="9">
        <f t="shared" si="2"/>
        <v>441</v>
      </c>
      <c r="I179" s="5">
        <f t="shared" si="3"/>
        <v>10</v>
      </c>
      <c r="J179" s="5">
        <f t="shared" si="4"/>
        <v>6041043.084</v>
      </c>
    </row>
    <row r="180">
      <c r="A180" s="11">
        <v>7.0</v>
      </c>
      <c r="B180" s="5" t="str">
        <f>IFERROR(__xludf.DUMMYFUNCTION("""COMPUTED_VALUE"""),"Accidents (unintentional injuries) (V01-X59,Y85-Y86)")</f>
        <v>Accidents (unintentional injuries) (V01-X59,Y85-Y86)</v>
      </c>
      <c r="C180" s="8">
        <f>IFERROR(__xludf.DUMMYFUNCTION("""COMPUTED_VALUE"""),20537.0)</f>
        <v>20537</v>
      </c>
      <c r="D180" s="5">
        <f>IFERROR(__xludf.DUMMYFUNCTION("""COMPUTED_VALUE"""),2.5)</f>
        <v>2.5</v>
      </c>
      <c r="E180" s="9">
        <f>IFERROR(__xludf.DUMMYFUNCTION("""COMPUTED_VALUE"""),340.0)</f>
        <v>340</v>
      </c>
      <c r="F180" s="5" t="str">
        <f>IFERROR(__xludf.DUMMYFUNCTION("""COMPUTED_VALUE"""),"both sexes")</f>
        <v>both sexes</v>
      </c>
      <c r="G180" s="5" t="str">
        <f>IFERROR(__xludf.DUMMYFUNCTION("""COMPUTED_VALUE"""),"85 years and over")</f>
        <v>85 years and over</v>
      </c>
      <c r="H180" s="9">
        <f t="shared" si="2"/>
        <v>340</v>
      </c>
      <c r="I180" s="5">
        <f t="shared" si="3"/>
        <v>10</v>
      </c>
      <c r="J180" s="5">
        <f t="shared" si="4"/>
        <v>6040294.118</v>
      </c>
    </row>
    <row r="181">
      <c r="A181" s="11">
        <v>8.0</v>
      </c>
      <c r="B181" s="5" t="str">
        <f>IFERROR(__xludf.DUMMYFUNCTION("""COMPUTED_VALUE"""),"Nephritis, nephrotic syndrome and nephrosis (N00-N07,N17-N19,N25-N27)")</f>
        <v>Nephritis, nephrotic syndrome and nephrosis (N00-N07,N17-N19,N25-N27)</v>
      </c>
      <c r="C181" s="8">
        <f>IFERROR(__xludf.DUMMYFUNCTION("""COMPUTED_VALUE"""),17239.0)</f>
        <v>17239</v>
      </c>
      <c r="D181" s="5">
        <f>IFERROR(__xludf.DUMMYFUNCTION("""COMPUTED_VALUE"""),2.1)</f>
        <v>2.1</v>
      </c>
      <c r="E181" s="9">
        <f>IFERROR(__xludf.DUMMYFUNCTION("""COMPUTED_VALUE"""),285.4)</f>
        <v>285.4</v>
      </c>
      <c r="F181" s="5" t="str">
        <f>IFERROR(__xludf.DUMMYFUNCTION("""COMPUTED_VALUE"""),"both sexes")</f>
        <v>both sexes</v>
      </c>
      <c r="G181" s="5" t="str">
        <f>IFERROR(__xludf.DUMMYFUNCTION("""COMPUTED_VALUE"""),"85 years and over")</f>
        <v>85 years and over</v>
      </c>
      <c r="H181" s="9">
        <f t="shared" si="2"/>
        <v>285.4</v>
      </c>
      <c r="I181" s="5">
        <f t="shared" si="3"/>
        <v>10</v>
      </c>
      <c r="J181" s="5">
        <f t="shared" si="4"/>
        <v>6040294.324</v>
      </c>
    </row>
    <row r="182">
      <c r="A182" s="11">
        <v>9.0</v>
      </c>
      <c r="B182" s="5" t="str">
        <f>IFERROR(__xludf.DUMMYFUNCTION("""COMPUTED_VALUE"""),"Diabetes mellitus (E10-E14)")</f>
        <v>Diabetes mellitus (E10-E14)</v>
      </c>
      <c r="C182" s="8">
        <f>IFERROR(__xludf.DUMMYFUNCTION("""COMPUTED_VALUE"""),16885.0)</f>
        <v>16885</v>
      </c>
      <c r="D182" s="5">
        <f>IFERROR(__xludf.DUMMYFUNCTION("""COMPUTED_VALUE"""),2.0)</f>
        <v>2</v>
      </c>
      <c r="E182" s="9">
        <f>IFERROR(__xludf.DUMMYFUNCTION("""COMPUTED_VALUE"""),279.5)</f>
        <v>279.5</v>
      </c>
      <c r="F182" s="5" t="str">
        <f>IFERROR(__xludf.DUMMYFUNCTION("""COMPUTED_VALUE"""),"both sexes")</f>
        <v>both sexes</v>
      </c>
      <c r="G182" s="5" t="str">
        <f>IFERROR(__xludf.DUMMYFUNCTION("""COMPUTED_VALUE"""),"85 years and over")</f>
        <v>85 years and over</v>
      </c>
      <c r="H182" s="9">
        <f t="shared" si="2"/>
        <v>279.5</v>
      </c>
      <c r="I182" s="5">
        <f t="shared" si="3"/>
        <v>10</v>
      </c>
      <c r="J182" s="5">
        <f t="shared" si="4"/>
        <v>6041144.902</v>
      </c>
    </row>
    <row r="183">
      <c r="A183" s="11">
        <v>10.0</v>
      </c>
      <c r="B183" s="5" t="str">
        <f>IFERROR(__xludf.DUMMYFUNCTION("""COMPUTED_VALUE"""),"Essential hypertension and hypertensive renal disease (I10,I12,I15)")</f>
        <v>Essential hypertension and hypertensive renal disease (I10,I12,I15)</v>
      </c>
      <c r="C183" s="8">
        <f>IFERROR(__xludf.DUMMYFUNCTION("""COMPUTED_VALUE"""),13991.0)</f>
        <v>13991</v>
      </c>
      <c r="D183" s="5">
        <f>IFERROR(__xludf.DUMMYFUNCTION("""COMPUTED_VALUE"""),1.7)</f>
        <v>1.7</v>
      </c>
      <c r="E183" s="9">
        <f>IFERROR(__xludf.DUMMYFUNCTION("""COMPUTED_VALUE"""),231.6)</f>
        <v>231.6</v>
      </c>
      <c r="F183" s="5" t="str">
        <f>IFERROR(__xludf.DUMMYFUNCTION("""COMPUTED_VALUE"""),"both sexes")</f>
        <v>both sexes</v>
      </c>
      <c r="G183" s="5" t="str">
        <f>IFERROR(__xludf.DUMMYFUNCTION("""COMPUTED_VALUE"""),"85 years and over")</f>
        <v>85 years and over</v>
      </c>
      <c r="H183" s="9">
        <f t="shared" si="2"/>
        <v>231.6</v>
      </c>
      <c r="I183" s="5">
        <f t="shared" si="3"/>
        <v>10</v>
      </c>
      <c r="J183" s="5">
        <f t="shared" si="4"/>
        <v>6041018.998</v>
      </c>
    </row>
    <row r="184">
      <c r="A184" s="11">
        <v>11.0</v>
      </c>
      <c r="B184" s="5" t="str">
        <f>IFERROR(__xludf.DUMMYFUNCTION("""COMPUTED_VALUE"""),"Septicemia (A40-A41)")</f>
        <v>Septicemia (A40-A41)</v>
      </c>
      <c r="C184" s="8">
        <f>IFERROR(__xludf.DUMMYFUNCTION("""COMPUTED_VALUE"""),10848.0)</f>
        <v>10848</v>
      </c>
      <c r="D184" s="5">
        <f>IFERROR(__xludf.DUMMYFUNCTION("""COMPUTED_VALUE"""),1.3)</f>
        <v>1.3</v>
      </c>
      <c r="E184" s="9">
        <f>IFERROR(__xludf.DUMMYFUNCTION("""COMPUTED_VALUE"""),179.6)</f>
        <v>179.6</v>
      </c>
      <c r="F184" s="5" t="str">
        <f>IFERROR(__xludf.DUMMYFUNCTION("""COMPUTED_VALUE"""),"both sexes")</f>
        <v>both sexes</v>
      </c>
      <c r="G184" s="5" t="str">
        <f>IFERROR(__xludf.DUMMYFUNCTION("""COMPUTED_VALUE"""),"85 years and over")</f>
        <v>85 years and over</v>
      </c>
      <c r="H184" s="9">
        <f t="shared" si="2"/>
        <v>179.6</v>
      </c>
      <c r="I184" s="5">
        <f t="shared" si="3"/>
        <v>10</v>
      </c>
      <c r="J184" s="5">
        <f t="shared" si="4"/>
        <v>6040089.087</v>
      </c>
    </row>
    <row r="185">
      <c r="A185" s="11">
        <v>12.0</v>
      </c>
      <c r="B185" s="5" t="str">
        <f>IFERROR(__xludf.DUMMYFUNCTION("""COMPUTED_VALUE"""),"Parkinson's disease (G20-G21)")</f>
        <v>Parkinson's disease (G20-G21)</v>
      </c>
      <c r="C185" s="8">
        <f>IFERROR(__xludf.DUMMYFUNCTION("""COMPUTED_VALUE"""),10762.0)</f>
        <v>10762</v>
      </c>
      <c r="D185" s="5">
        <f>IFERROR(__xludf.DUMMYFUNCTION("""COMPUTED_VALUE"""),1.3)</f>
        <v>1.3</v>
      </c>
      <c r="E185" s="9">
        <f>IFERROR(__xludf.DUMMYFUNCTION("""COMPUTED_VALUE"""),178.2)</f>
        <v>178.2</v>
      </c>
      <c r="F185" s="5" t="str">
        <f>IFERROR(__xludf.DUMMYFUNCTION("""COMPUTED_VALUE"""),"both sexes")</f>
        <v>both sexes</v>
      </c>
      <c r="G185" s="5" t="str">
        <f>IFERROR(__xludf.DUMMYFUNCTION("""COMPUTED_VALUE"""),"85 years and over")</f>
        <v>85 years and over</v>
      </c>
      <c r="H185" s="9">
        <f t="shared" si="2"/>
        <v>178.2</v>
      </c>
      <c r="I185" s="5">
        <f t="shared" si="3"/>
        <v>10</v>
      </c>
      <c r="J185" s="5">
        <f t="shared" si="4"/>
        <v>6039281.706</v>
      </c>
    </row>
    <row r="186">
      <c r="A186" s="11">
        <v>13.0</v>
      </c>
      <c r="B186" s="5" t="str">
        <f>IFERROR(__xludf.DUMMYFUNCTION("""COMPUTED_VALUE"""),"Pneumonitis due to solids and liquids (J69)")</f>
        <v>Pneumonitis due to solids and liquids (J69)</v>
      </c>
      <c r="C186" s="8">
        <f>IFERROR(__xludf.DUMMYFUNCTION("""COMPUTED_VALUE"""),9218.0)</f>
        <v>9218</v>
      </c>
      <c r="D186" s="5">
        <f>IFERROR(__xludf.DUMMYFUNCTION("""COMPUTED_VALUE"""),1.1)</f>
        <v>1.1</v>
      </c>
      <c r="E186" s="9">
        <f>IFERROR(__xludf.DUMMYFUNCTION("""COMPUTED_VALUE"""),152.6)</f>
        <v>152.6</v>
      </c>
      <c r="F186" s="5" t="str">
        <f>IFERROR(__xludf.DUMMYFUNCTION("""COMPUTED_VALUE"""),"both sexes")</f>
        <v>both sexes</v>
      </c>
      <c r="G186" s="5" t="str">
        <f>IFERROR(__xludf.DUMMYFUNCTION("""COMPUTED_VALUE"""),"85 years and over")</f>
        <v>85 years and over</v>
      </c>
      <c r="H186" s="9">
        <f t="shared" si="2"/>
        <v>152.6</v>
      </c>
      <c r="I186" s="5">
        <f t="shared" si="3"/>
        <v>10</v>
      </c>
      <c r="J186" s="5">
        <f t="shared" si="4"/>
        <v>6040629.096</v>
      </c>
    </row>
    <row r="187">
      <c r="A187" s="11">
        <v>14.0</v>
      </c>
      <c r="B187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187" s="8">
        <f>IFERROR(__xludf.DUMMYFUNCTION("""COMPUTED_VALUE"""),5106.0)</f>
        <v>5106</v>
      </c>
      <c r="D187" s="5">
        <f>IFERROR(__xludf.DUMMYFUNCTION("""COMPUTED_VALUE"""),0.6)</f>
        <v>0.6</v>
      </c>
      <c r="E187" s="9">
        <f>IFERROR(__xludf.DUMMYFUNCTION("""COMPUTED_VALUE"""),84.5)</f>
        <v>84.5</v>
      </c>
      <c r="F187" s="5" t="str">
        <f>IFERROR(__xludf.DUMMYFUNCTION("""COMPUTED_VALUE"""),"both sexes")</f>
        <v>both sexes</v>
      </c>
      <c r="G187" s="5" t="str">
        <f>IFERROR(__xludf.DUMMYFUNCTION("""COMPUTED_VALUE"""),"85 years and over")</f>
        <v>85 years and over</v>
      </c>
      <c r="H187" s="9">
        <f t="shared" si="2"/>
        <v>84.5</v>
      </c>
      <c r="I187" s="5">
        <f t="shared" si="3"/>
        <v>10</v>
      </c>
      <c r="J187" s="5">
        <f t="shared" si="4"/>
        <v>6042603.55</v>
      </c>
    </row>
    <row r="188">
      <c r="A188" s="11">
        <v>15.0</v>
      </c>
      <c r="B188" s="5" t="str">
        <f>IFERROR(__xludf.DUMMYFUNCTION("""COMPUTED_VALUE"""),"Atherosclerosis (I70)")</f>
        <v>Atherosclerosis (I70)</v>
      </c>
      <c r="C188" s="8">
        <f>IFERROR(__xludf.DUMMYFUNCTION("""COMPUTED_VALUE"""),3803.0)</f>
        <v>3803</v>
      </c>
      <c r="D188" s="5">
        <f>IFERROR(__xludf.DUMMYFUNCTION("""COMPUTED_VALUE"""),0.5)</f>
        <v>0.5</v>
      </c>
      <c r="E188" s="9">
        <f>IFERROR(__xludf.DUMMYFUNCTION("""COMPUTED_VALUE"""),63.0)</f>
        <v>63</v>
      </c>
      <c r="F188" s="5" t="str">
        <f>IFERROR(__xludf.DUMMYFUNCTION("""COMPUTED_VALUE"""),"both sexes")</f>
        <v>both sexes</v>
      </c>
      <c r="G188" s="5" t="str">
        <f>IFERROR(__xludf.DUMMYFUNCTION("""COMPUTED_VALUE"""),"85 years and over")</f>
        <v>85 years and over</v>
      </c>
      <c r="H188" s="9">
        <f t="shared" si="2"/>
        <v>63</v>
      </c>
      <c r="I188" s="5">
        <f t="shared" si="3"/>
        <v>10</v>
      </c>
      <c r="J188" s="5">
        <f t="shared" si="4"/>
        <v>6036507.937</v>
      </c>
    </row>
    <row r="189">
      <c r="A189" s="7" t="s">
        <v>12</v>
      </c>
      <c r="B189" s="5" t="str">
        <f>IFERROR(__xludf.DUMMYFUNCTION("""COMPUTED_VALUE"""),"All other causes (Residual)")</f>
        <v>All other causes (Residual)</v>
      </c>
      <c r="C189" s="8">
        <f>IFERROR(__xludf.DUMMYFUNCTION("""COMPUTED_VALUE"""),195781.0)</f>
        <v>195781</v>
      </c>
      <c r="D189" s="5">
        <f>IFERROR(__xludf.DUMMYFUNCTION("""COMPUTED_VALUE"""),23.7)</f>
        <v>23.7</v>
      </c>
      <c r="E189" s="9">
        <f>IFERROR(__xludf.DUMMYFUNCTION("""COMPUTED_VALUE"""),3241.0)</f>
        <v>3241</v>
      </c>
      <c r="F189" s="5" t="str">
        <f>IFERROR(__xludf.DUMMYFUNCTION("""COMPUTED_VALUE"""),"both sexes")</f>
        <v>both sexes</v>
      </c>
      <c r="G189" s="5" t="str">
        <f>IFERROR(__xludf.DUMMYFUNCTION("""COMPUTED_VALUE"""),"85 years and over")</f>
        <v>85 years and over</v>
      </c>
      <c r="H189" s="9">
        <f t="shared" si="2"/>
        <v>3241</v>
      </c>
      <c r="I189" s="5">
        <f t="shared" si="3"/>
        <v>10</v>
      </c>
      <c r="J189" s="5">
        <f t="shared" si="4"/>
        <v>6040759.025</v>
      </c>
    </row>
    <row r="190">
      <c r="A190" s="7" t="s">
        <v>12</v>
      </c>
      <c r="B190" s="5" t="str">
        <f>IFERROR(__xludf.DUMMYFUNCTION("""COMPUTED_VALUE"""),"All causes")</f>
        <v>All causes</v>
      </c>
      <c r="C190" s="8">
        <f>IFERROR(__xludf.DUMMYFUNCTION("""COMPUTED_VALUE"""),1306034.0)</f>
        <v>1306034</v>
      </c>
      <c r="D190" s="5">
        <f>IFERROR(__xludf.DUMMYFUNCTION("""COMPUTED_VALUE"""),100.0)</f>
        <v>100</v>
      </c>
      <c r="E190" s="9">
        <f>IFERROR(__xludf.DUMMYFUNCTION("""COMPUTED_VALUE"""),839.1)</f>
        <v>839.1</v>
      </c>
      <c r="F190" s="5" t="str">
        <f>IFERROR(__xludf.DUMMYFUNCTION("""COMPUTED_VALUE"""),"male")</f>
        <v>male</v>
      </c>
      <c r="G190" s="5" t="str">
        <f>IFERROR(__xludf.DUMMYFUNCTION("""COMPUTED_VALUE"""),"all ages")</f>
        <v>all ages</v>
      </c>
      <c r="H190" s="9">
        <f t="shared" si="2"/>
        <v>839.1</v>
      </c>
      <c r="I190" s="5">
        <f t="shared" si="3"/>
        <v>11</v>
      </c>
      <c r="J190" s="5">
        <f t="shared" si="4"/>
        <v>155647002.7</v>
      </c>
    </row>
    <row r="191">
      <c r="A191" s="11">
        <v>1.0</v>
      </c>
      <c r="B191" s="5" t="str">
        <f>IFERROR(__xludf.DUMMYFUNCTION("""COMPUTED_VALUE"""),"Diseases of heart (I00-I09,I11,I13,I20-I51)")</f>
        <v>Diseases of heart (I00-I09,I11,I13,I20-I51)</v>
      </c>
      <c r="C191" s="8">
        <f>IFERROR(__xludf.DUMMYFUNCTION("""COMPUTED_VALUE"""),321347.0)</f>
        <v>321347</v>
      </c>
      <c r="D191" s="5">
        <f>IFERROR(__xludf.DUMMYFUNCTION("""COMPUTED_VALUE"""),24.6)</f>
        <v>24.6</v>
      </c>
      <c r="E191" s="9">
        <f>IFERROR(__xludf.DUMMYFUNCTION("""COMPUTED_VALUE"""),206.5)</f>
        <v>206.5</v>
      </c>
      <c r="F191" s="5" t="str">
        <f>IFERROR(__xludf.DUMMYFUNCTION("""COMPUTED_VALUE"""),"male")</f>
        <v>male</v>
      </c>
      <c r="G191" s="5" t="str">
        <f>IFERROR(__xludf.DUMMYFUNCTION("""COMPUTED_VALUE"""),"all ages")</f>
        <v>all ages</v>
      </c>
      <c r="H191" s="9">
        <f t="shared" si="2"/>
        <v>206.5</v>
      </c>
      <c r="I191" s="5">
        <f t="shared" si="3"/>
        <v>11</v>
      </c>
      <c r="J191" s="5">
        <f t="shared" si="4"/>
        <v>155615980.6</v>
      </c>
    </row>
    <row r="192">
      <c r="A192" s="11">
        <v>2.0</v>
      </c>
      <c r="B192" s="5" t="str">
        <f>IFERROR(__xludf.DUMMYFUNCTION("""COMPUTED_VALUE"""),"Malignant neoplasms (C00-C97)")</f>
        <v>Malignant neoplasms (C00-C97)</v>
      </c>
      <c r="C192" s="8">
        <f>IFERROR(__xludf.DUMMYFUNCTION("""COMPUTED_VALUE"""),307559.0)</f>
        <v>307559</v>
      </c>
      <c r="D192" s="5">
        <f>IFERROR(__xludf.DUMMYFUNCTION("""COMPUTED_VALUE"""),23.5)</f>
        <v>23.5</v>
      </c>
      <c r="E192" s="9">
        <f>IFERROR(__xludf.DUMMYFUNCTION("""COMPUTED_VALUE"""),197.6)</f>
        <v>197.6</v>
      </c>
      <c r="F192" s="5" t="str">
        <f>IFERROR(__xludf.DUMMYFUNCTION("""COMPUTED_VALUE"""),"male")</f>
        <v>male</v>
      </c>
      <c r="G192" s="5" t="str">
        <f>IFERROR(__xludf.DUMMYFUNCTION("""COMPUTED_VALUE"""),"all ages")</f>
        <v>all ages</v>
      </c>
      <c r="H192" s="9">
        <f t="shared" si="2"/>
        <v>197.6</v>
      </c>
      <c r="I192" s="5">
        <f t="shared" si="3"/>
        <v>11</v>
      </c>
      <c r="J192" s="5">
        <f t="shared" si="4"/>
        <v>155647267.2</v>
      </c>
    </row>
    <row r="193">
      <c r="A193" s="11">
        <v>3.0</v>
      </c>
      <c r="B193" s="5" t="str">
        <f>IFERROR(__xludf.DUMMYFUNCTION("""COMPUTED_VALUE"""),"Accidents (unintentional injuries) (V01-X59,Y85-Y86)")</f>
        <v>Accidents (unintentional injuries) (V01-X59,Y85-Y86)</v>
      </c>
      <c r="C193" s="8">
        <f>IFERROR(__xludf.DUMMYFUNCTION("""COMPUTED_VALUE"""),81916.0)</f>
        <v>81916</v>
      </c>
      <c r="D193" s="5">
        <f>IFERROR(__xludf.DUMMYFUNCTION("""COMPUTED_VALUE"""),6.3)</f>
        <v>6.3</v>
      </c>
      <c r="E193" s="9">
        <f>IFERROR(__xludf.DUMMYFUNCTION("""COMPUTED_VALUE"""),52.6)</f>
        <v>52.6</v>
      </c>
      <c r="F193" s="5" t="str">
        <f>IFERROR(__xludf.DUMMYFUNCTION("""COMPUTED_VALUE"""),"male")</f>
        <v>male</v>
      </c>
      <c r="G193" s="5" t="str">
        <f>IFERROR(__xludf.DUMMYFUNCTION("""COMPUTED_VALUE"""),"all ages")</f>
        <v>all ages</v>
      </c>
      <c r="H193" s="9">
        <f t="shared" si="2"/>
        <v>52.6</v>
      </c>
      <c r="I193" s="5">
        <f t="shared" si="3"/>
        <v>11</v>
      </c>
      <c r="J193" s="5">
        <f t="shared" si="4"/>
        <v>155733840.3</v>
      </c>
    </row>
    <row r="194">
      <c r="A194" s="11">
        <v>4.0</v>
      </c>
      <c r="B194" s="5" t="str">
        <f>IFERROR(__xludf.DUMMYFUNCTION("""COMPUTED_VALUE"""),"Chronic lower respiratory diseases (J40-J47)")</f>
        <v>Chronic lower respiratory diseases (J40-J47)</v>
      </c>
      <c r="C194" s="8">
        <f>IFERROR(__xludf.DUMMYFUNCTION("""COMPUTED_VALUE"""),70317.0)</f>
        <v>70317</v>
      </c>
      <c r="D194" s="5">
        <f>IFERROR(__xludf.DUMMYFUNCTION("""COMPUTED_VALUE"""),5.4)</f>
        <v>5.4</v>
      </c>
      <c r="E194" s="9">
        <f>IFERROR(__xludf.DUMMYFUNCTION("""COMPUTED_VALUE"""),45.2)</f>
        <v>45.2</v>
      </c>
      <c r="F194" s="5" t="str">
        <f>IFERROR(__xludf.DUMMYFUNCTION("""COMPUTED_VALUE"""),"male")</f>
        <v>male</v>
      </c>
      <c r="G194" s="5" t="str">
        <f>IFERROR(__xludf.DUMMYFUNCTION("""COMPUTED_VALUE"""),"all ages")</f>
        <v>all ages</v>
      </c>
      <c r="H194" s="9">
        <f t="shared" si="2"/>
        <v>45.2</v>
      </c>
      <c r="I194" s="5">
        <f t="shared" si="3"/>
        <v>11</v>
      </c>
      <c r="J194" s="5">
        <f t="shared" si="4"/>
        <v>155568584.1</v>
      </c>
    </row>
    <row r="195">
      <c r="A195" s="11">
        <v>5.0</v>
      </c>
      <c r="B195" s="5" t="str">
        <f>IFERROR(__xludf.DUMMYFUNCTION("""COMPUTED_VALUE"""),"Cerebrovascular diseases (I60-I69)")</f>
        <v>Cerebrovascular diseases (I60-I69)</v>
      </c>
      <c r="C195" s="8">
        <f>IFERROR(__xludf.DUMMYFUNCTION("""COMPUTED_VALUE"""),53691.0)</f>
        <v>53691</v>
      </c>
      <c r="D195" s="5">
        <f>IFERROR(__xludf.DUMMYFUNCTION("""COMPUTED_VALUE"""),4.1)</f>
        <v>4.1</v>
      </c>
      <c r="E195" s="9">
        <f>IFERROR(__xludf.DUMMYFUNCTION("""COMPUTED_VALUE"""),34.5)</f>
        <v>34.5</v>
      </c>
      <c r="F195" s="5" t="str">
        <f>IFERROR(__xludf.DUMMYFUNCTION("""COMPUTED_VALUE"""),"male")</f>
        <v>male</v>
      </c>
      <c r="G195" s="5" t="str">
        <f>IFERROR(__xludf.DUMMYFUNCTION("""COMPUTED_VALUE"""),"all ages")</f>
        <v>all ages</v>
      </c>
      <c r="H195" s="9">
        <f t="shared" si="2"/>
        <v>34.5</v>
      </c>
      <c r="I195" s="5">
        <f t="shared" si="3"/>
        <v>11</v>
      </c>
      <c r="J195" s="5">
        <f t="shared" si="4"/>
        <v>155626087</v>
      </c>
    </row>
    <row r="196">
      <c r="A196" s="11">
        <v>6.0</v>
      </c>
      <c r="B196" s="5" t="str">
        <f>IFERROR(__xludf.DUMMYFUNCTION("""COMPUTED_VALUE"""),"Diabetes mellitus (E10-E14)")</f>
        <v>Diabetes mellitus (E10-E14)</v>
      </c>
      <c r="C196" s="8">
        <f>IFERROR(__xludf.DUMMYFUNCTION("""COMPUTED_VALUE"""),39841.0)</f>
        <v>39841</v>
      </c>
      <c r="D196" s="5">
        <f>IFERROR(__xludf.DUMMYFUNCTION("""COMPUTED_VALUE"""),3.1)</f>
        <v>3.1</v>
      </c>
      <c r="E196" s="9">
        <f>IFERROR(__xludf.DUMMYFUNCTION("""COMPUTED_VALUE"""),25.6)</f>
        <v>25.6</v>
      </c>
      <c r="F196" s="5" t="str">
        <f>IFERROR(__xludf.DUMMYFUNCTION("""COMPUTED_VALUE"""),"male")</f>
        <v>male</v>
      </c>
      <c r="G196" s="5" t="str">
        <f>IFERROR(__xludf.DUMMYFUNCTION("""COMPUTED_VALUE"""),"all ages")</f>
        <v>all ages</v>
      </c>
      <c r="H196" s="9">
        <f t="shared" si="2"/>
        <v>25.6</v>
      </c>
      <c r="I196" s="5">
        <f t="shared" si="3"/>
        <v>11</v>
      </c>
      <c r="J196" s="5">
        <f t="shared" si="4"/>
        <v>155628906.3</v>
      </c>
    </row>
    <row r="197">
      <c r="A197" s="11">
        <v>7.0</v>
      </c>
      <c r="B197" s="5" t="str">
        <f>IFERROR(__xludf.DUMMYFUNCTION("""COMPUTED_VALUE"""),"Intentional self-harm (suicide) (*U03,X60-X84,Y87.0)")</f>
        <v>Intentional self-harm (suicide) (*U03,X60-X84,Y87.0)</v>
      </c>
      <c r="C197" s="8">
        <f>IFERROR(__xludf.DUMMYFUNCTION("""COMPUTED_VALUE"""),32055.0)</f>
        <v>32055</v>
      </c>
      <c r="D197" s="5">
        <f>IFERROR(__xludf.DUMMYFUNCTION("""COMPUTED_VALUE"""),2.5)</f>
        <v>2.5</v>
      </c>
      <c r="E197" s="9">
        <f>IFERROR(__xludf.DUMMYFUNCTION("""COMPUTED_VALUE"""),20.6)</f>
        <v>20.6</v>
      </c>
      <c r="F197" s="5" t="str">
        <f>IFERROR(__xludf.DUMMYFUNCTION("""COMPUTED_VALUE"""),"male")</f>
        <v>male</v>
      </c>
      <c r="G197" s="5" t="str">
        <f>IFERROR(__xludf.DUMMYFUNCTION("""COMPUTED_VALUE"""),"all ages")</f>
        <v>all ages</v>
      </c>
      <c r="H197" s="9">
        <f t="shared" si="2"/>
        <v>20.6</v>
      </c>
      <c r="I197" s="5">
        <f t="shared" si="3"/>
        <v>11</v>
      </c>
      <c r="J197" s="5">
        <f t="shared" si="4"/>
        <v>155606796.1</v>
      </c>
    </row>
    <row r="198">
      <c r="A198" s="11">
        <v>8.0</v>
      </c>
      <c r="B198" s="5" t="str">
        <f>IFERROR(__xludf.DUMMYFUNCTION("""COMPUTED_VALUE"""),"Influenza and pneumonia (J09-J18)")</f>
        <v>Influenza and pneumonia (J09-J18)</v>
      </c>
      <c r="C198" s="8">
        <f>IFERROR(__xludf.DUMMYFUNCTION("""COMPUTED_VALUE"""),26804.0)</f>
        <v>26804</v>
      </c>
      <c r="D198" s="5">
        <f>IFERROR(__xludf.DUMMYFUNCTION("""COMPUTED_VALUE"""),2.1)</f>
        <v>2.1</v>
      </c>
      <c r="E198" s="9">
        <f>IFERROR(__xludf.DUMMYFUNCTION("""COMPUTED_VALUE"""),17.2)</f>
        <v>17.2</v>
      </c>
      <c r="F198" s="5" t="str">
        <f>IFERROR(__xludf.DUMMYFUNCTION("""COMPUTED_VALUE"""),"male")</f>
        <v>male</v>
      </c>
      <c r="G198" s="5" t="str">
        <f>IFERROR(__xludf.DUMMYFUNCTION("""COMPUTED_VALUE"""),"all ages")</f>
        <v>all ages</v>
      </c>
      <c r="H198" s="9">
        <f t="shared" si="2"/>
        <v>17.2</v>
      </c>
      <c r="I198" s="5">
        <f t="shared" si="3"/>
        <v>11</v>
      </c>
      <c r="J198" s="5">
        <f t="shared" si="4"/>
        <v>155837209.3</v>
      </c>
    </row>
    <row r="199">
      <c r="A199" s="11">
        <v>9.0</v>
      </c>
      <c r="B199" s="5" t="str">
        <f>IFERROR(__xludf.DUMMYFUNCTION("""COMPUTED_VALUE"""),"Alzheimer's disease (G30)")</f>
        <v>Alzheimer's disease (G30)</v>
      </c>
      <c r="C199" s="8">
        <f>IFERROR(__xludf.DUMMYFUNCTION("""COMPUTED_VALUE"""),25836.0)</f>
        <v>25836</v>
      </c>
      <c r="D199" s="5">
        <f>IFERROR(__xludf.DUMMYFUNCTION("""COMPUTED_VALUE"""),2.0)</f>
        <v>2</v>
      </c>
      <c r="E199" s="9">
        <f>IFERROR(__xludf.DUMMYFUNCTION("""COMPUTED_VALUE"""),16.6)</f>
        <v>16.6</v>
      </c>
      <c r="F199" s="5" t="str">
        <f>IFERROR(__xludf.DUMMYFUNCTION("""COMPUTED_VALUE"""),"male")</f>
        <v>male</v>
      </c>
      <c r="G199" s="5" t="str">
        <f>IFERROR(__xludf.DUMMYFUNCTION("""COMPUTED_VALUE"""),"all ages")</f>
        <v>all ages</v>
      </c>
      <c r="H199" s="9">
        <f t="shared" si="2"/>
        <v>16.6</v>
      </c>
      <c r="I199" s="5">
        <f t="shared" si="3"/>
        <v>11</v>
      </c>
      <c r="J199" s="5">
        <f t="shared" si="4"/>
        <v>155638554.2</v>
      </c>
    </row>
    <row r="200">
      <c r="A200" s="11">
        <v>10.0</v>
      </c>
      <c r="B200" s="5" t="str">
        <f>IFERROR(__xludf.DUMMYFUNCTION("""COMPUTED_VALUE"""),"Chronic liver disease and cirrhosis (K70,K73-K74)")</f>
        <v>Chronic liver disease and cirrhosis (K70,K73-K74)</v>
      </c>
      <c r="C200" s="8">
        <f>IFERROR(__xludf.DUMMYFUNCTION("""COMPUTED_VALUE"""),23709.0)</f>
        <v>23709</v>
      </c>
      <c r="D200" s="5">
        <f>IFERROR(__xludf.DUMMYFUNCTION("""COMPUTED_VALUE"""),1.8)</f>
        <v>1.8</v>
      </c>
      <c r="E200" s="9">
        <f>IFERROR(__xludf.DUMMYFUNCTION("""COMPUTED_VALUE"""),15.2)</f>
        <v>15.2</v>
      </c>
      <c r="F200" s="5" t="str">
        <f>IFERROR(__xludf.DUMMYFUNCTION("""COMPUTED_VALUE"""),"male")</f>
        <v>male</v>
      </c>
      <c r="G200" s="5" t="str">
        <f>IFERROR(__xludf.DUMMYFUNCTION("""COMPUTED_VALUE"""),"all ages")</f>
        <v>all ages</v>
      </c>
      <c r="H200" s="9">
        <f t="shared" si="2"/>
        <v>15.2</v>
      </c>
      <c r="I200" s="5">
        <f t="shared" si="3"/>
        <v>11</v>
      </c>
      <c r="J200" s="5">
        <f t="shared" si="4"/>
        <v>155980263.2</v>
      </c>
    </row>
    <row r="201">
      <c r="A201" s="11">
        <v>11.0</v>
      </c>
      <c r="B201" s="5" t="str">
        <f>IFERROR(__xludf.DUMMYFUNCTION("""COMPUTED_VALUE"""),"Nephritis, nephrotic syndrome and nephrosis (N00-N07,N17-N19,N25-N27)")</f>
        <v>Nephritis, nephrotic syndrome and nephrosis (N00-N07,N17-N19,N25-N27)</v>
      </c>
      <c r="C201" s="8">
        <f>IFERROR(__xludf.DUMMYFUNCTION("""COMPUTED_VALUE"""),23493.0)</f>
        <v>23493</v>
      </c>
      <c r="D201" s="5">
        <f>IFERROR(__xludf.DUMMYFUNCTION("""COMPUTED_VALUE"""),1.8)</f>
        <v>1.8</v>
      </c>
      <c r="E201" s="9">
        <f>IFERROR(__xludf.DUMMYFUNCTION("""COMPUTED_VALUE"""),15.1)</f>
        <v>15.1</v>
      </c>
      <c r="F201" s="5" t="str">
        <f>IFERROR(__xludf.DUMMYFUNCTION("""COMPUTED_VALUE"""),"male")</f>
        <v>male</v>
      </c>
      <c r="G201" s="5" t="str">
        <f>IFERROR(__xludf.DUMMYFUNCTION("""COMPUTED_VALUE"""),"all ages")</f>
        <v>all ages</v>
      </c>
      <c r="H201" s="9">
        <f t="shared" si="2"/>
        <v>15.1</v>
      </c>
      <c r="I201" s="5">
        <f t="shared" si="3"/>
        <v>11</v>
      </c>
      <c r="J201" s="5">
        <f t="shared" si="4"/>
        <v>155582781.5</v>
      </c>
    </row>
    <row r="202">
      <c r="A202" s="11">
        <v>12.0</v>
      </c>
      <c r="B202" s="5" t="str">
        <f>IFERROR(__xludf.DUMMYFUNCTION("""COMPUTED_VALUE"""),"Septicemia (A40-A41)")</f>
        <v>Septicemia (A40-A41)</v>
      </c>
      <c r="C202" s="8">
        <f>IFERROR(__xludf.DUMMYFUNCTION("""COMPUTED_VALUE"""),17994.0)</f>
        <v>17994</v>
      </c>
      <c r="D202" s="5">
        <f>IFERROR(__xludf.DUMMYFUNCTION("""COMPUTED_VALUE"""),1.4)</f>
        <v>1.4</v>
      </c>
      <c r="E202" s="9">
        <f>IFERROR(__xludf.DUMMYFUNCTION("""COMPUTED_VALUE"""),11.6)</f>
        <v>11.6</v>
      </c>
      <c r="F202" s="5" t="str">
        <f>IFERROR(__xludf.DUMMYFUNCTION("""COMPUTED_VALUE"""),"male")</f>
        <v>male</v>
      </c>
      <c r="G202" s="5" t="str">
        <f>IFERROR(__xludf.DUMMYFUNCTION("""COMPUTED_VALUE"""),"all ages")</f>
        <v>all ages</v>
      </c>
      <c r="H202" s="9">
        <f t="shared" si="2"/>
        <v>11.6</v>
      </c>
      <c r="I202" s="5">
        <f t="shared" si="3"/>
        <v>11</v>
      </c>
      <c r="J202" s="5">
        <f t="shared" si="4"/>
        <v>155120689.7</v>
      </c>
    </row>
    <row r="203">
      <c r="A203" s="11">
        <v>13.0</v>
      </c>
      <c r="B203" s="5" t="str">
        <f>IFERROR(__xludf.DUMMYFUNCTION("""COMPUTED_VALUE"""),"Parkinson's disease (G20-G21)")</f>
        <v>Parkinson's disease (G20-G21)</v>
      </c>
      <c r="C203" s="8">
        <f>IFERROR(__xludf.DUMMYFUNCTION("""COMPUTED_VALUE"""),15088.0)</f>
        <v>15088</v>
      </c>
      <c r="D203" s="5">
        <f>IFERROR(__xludf.DUMMYFUNCTION("""COMPUTED_VALUE"""),1.2)</f>
        <v>1.2</v>
      </c>
      <c r="E203" s="9">
        <f>IFERROR(__xludf.DUMMYFUNCTION("""COMPUTED_VALUE"""),9.7)</f>
        <v>9.7</v>
      </c>
      <c r="F203" s="5" t="str">
        <f>IFERROR(__xludf.DUMMYFUNCTION("""COMPUTED_VALUE"""),"male")</f>
        <v>male</v>
      </c>
      <c r="G203" s="5" t="str">
        <f>IFERROR(__xludf.DUMMYFUNCTION("""COMPUTED_VALUE"""),"all ages")</f>
        <v>all ages</v>
      </c>
      <c r="H203" s="9">
        <f t="shared" si="2"/>
        <v>9.7</v>
      </c>
      <c r="I203" s="5">
        <f t="shared" si="3"/>
        <v>11</v>
      </c>
      <c r="J203" s="5">
        <f t="shared" si="4"/>
        <v>155546391.8</v>
      </c>
    </row>
    <row r="204">
      <c r="A204" s="11">
        <v>14.0</v>
      </c>
      <c r="B204" s="5" t="str">
        <f>IFERROR(__xludf.DUMMYFUNCTION("""COMPUTED_VALUE"""),"Essential hypertension and hypertensive renal disease (I10,I12,I15)")</f>
        <v>Essential hypertension and hypertensive renal disease (I10,I12,I15)</v>
      </c>
      <c r="C204" s="8">
        <f>IFERROR(__xludf.DUMMYFUNCTION("""COMPUTED_VALUE"""),12963.0)</f>
        <v>12963</v>
      </c>
      <c r="D204" s="5">
        <f>IFERROR(__xludf.DUMMYFUNCTION("""COMPUTED_VALUE"""),1.0)</f>
        <v>1</v>
      </c>
      <c r="E204" s="9">
        <f>IFERROR(__xludf.DUMMYFUNCTION("""COMPUTED_VALUE"""),8.3)</f>
        <v>8.3</v>
      </c>
      <c r="F204" s="5" t="str">
        <f>IFERROR(__xludf.DUMMYFUNCTION("""COMPUTED_VALUE"""),"male")</f>
        <v>male</v>
      </c>
      <c r="G204" s="5" t="str">
        <f>IFERROR(__xludf.DUMMYFUNCTION("""COMPUTED_VALUE"""),"all ages")</f>
        <v>all ages</v>
      </c>
      <c r="H204" s="9">
        <f t="shared" si="2"/>
        <v>8.3</v>
      </c>
      <c r="I204" s="5">
        <f t="shared" si="3"/>
        <v>11</v>
      </c>
      <c r="J204" s="5">
        <f t="shared" si="4"/>
        <v>156180722.9</v>
      </c>
    </row>
    <row r="205">
      <c r="A205" s="11">
        <v>15.0</v>
      </c>
      <c r="B205" s="5" t="str">
        <f>IFERROR(__xludf.DUMMYFUNCTION("""COMPUTED_VALUE"""),"Assault (homicide) (*U01-*U02,X85-Y09,Y87.1)")</f>
        <v>Assault (homicide) (*U01-*U02,X85-Y09,Y87.1)</v>
      </c>
      <c r="C205" s="8">
        <f>IFERROR(__xludf.DUMMYFUNCTION("""COMPUTED_VALUE"""),12726.0)</f>
        <v>12726</v>
      </c>
      <c r="D205" s="5">
        <f>IFERROR(__xludf.DUMMYFUNCTION("""COMPUTED_VALUE"""),1.0)</f>
        <v>1</v>
      </c>
      <c r="E205" s="9">
        <f>IFERROR(__xludf.DUMMYFUNCTION("""COMPUTED_VALUE"""),8.2)</f>
        <v>8.2</v>
      </c>
      <c r="F205" s="5" t="str">
        <f>IFERROR(__xludf.DUMMYFUNCTION("""COMPUTED_VALUE"""),"male")</f>
        <v>male</v>
      </c>
      <c r="G205" s="5" t="str">
        <f>IFERROR(__xludf.DUMMYFUNCTION("""COMPUTED_VALUE"""),"all ages")</f>
        <v>all ages</v>
      </c>
      <c r="H205" s="9">
        <f t="shared" si="2"/>
        <v>8.2</v>
      </c>
      <c r="I205" s="5">
        <f t="shared" si="3"/>
        <v>11</v>
      </c>
      <c r="J205" s="5">
        <f t="shared" si="4"/>
        <v>155195122</v>
      </c>
    </row>
    <row r="206">
      <c r="A206" s="7" t="s">
        <v>12</v>
      </c>
      <c r="B206" s="5" t="str">
        <f>IFERROR(__xludf.DUMMYFUNCTION("""COMPUTED_VALUE"""),"All other causes (Residual)")</f>
        <v>All other causes (Residual)</v>
      </c>
      <c r="C206" s="8">
        <f>IFERROR(__xludf.DUMMYFUNCTION("""COMPUTED_VALUE"""),240695.0)</f>
        <v>240695</v>
      </c>
      <c r="D206" s="5">
        <f>IFERROR(__xludf.DUMMYFUNCTION("""COMPUTED_VALUE"""),18.4)</f>
        <v>18.4</v>
      </c>
      <c r="E206" s="9">
        <f>IFERROR(__xludf.DUMMYFUNCTION("""COMPUTED_VALUE"""),154.6)</f>
        <v>154.6</v>
      </c>
      <c r="F206" s="5" t="str">
        <f>IFERROR(__xludf.DUMMYFUNCTION("""COMPUTED_VALUE"""),"male")</f>
        <v>male</v>
      </c>
      <c r="G206" s="5" t="str">
        <f>IFERROR(__xludf.DUMMYFUNCTION("""COMPUTED_VALUE"""),"all ages")</f>
        <v>all ages</v>
      </c>
      <c r="H206" s="9">
        <f t="shared" si="2"/>
        <v>154.6</v>
      </c>
      <c r="I206" s="5">
        <f t="shared" si="3"/>
        <v>11</v>
      </c>
      <c r="J206" s="5">
        <f t="shared" si="4"/>
        <v>155688874.5</v>
      </c>
    </row>
    <row r="207">
      <c r="A207" s="7" t="s">
        <v>12</v>
      </c>
      <c r="B207" s="5" t="str">
        <f>IFERROR(__xludf.DUMMYFUNCTION("""COMPUTED_VALUE"""),"All causes")</f>
        <v>All causes</v>
      </c>
      <c r="C207" s="8">
        <f>IFERROR(__xludf.DUMMYFUNCTION("""COMPUTED_VALUE"""),2323.0)</f>
        <v>2323</v>
      </c>
      <c r="D207" s="5">
        <f>IFERROR(__xludf.DUMMYFUNCTION("""COMPUTED_VALUE"""),100.0)</f>
        <v>100</v>
      </c>
      <c r="E207" s="9">
        <f>IFERROR(__xludf.DUMMYFUNCTION("""COMPUTED_VALUE"""),28.6)</f>
        <v>28.6</v>
      </c>
      <c r="F207" s="5" t="str">
        <f>IFERROR(__xludf.DUMMYFUNCTION("""COMPUTED_VALUE"""),"male")</f>
        <v>male</v>
      </c>
      <c r="G207" s="5" t="str">
        <f>IFERROR(__xludf.DUMMYFUNCTION("""COMPUTED_VALUE"""),"1-4 years")</f>
        <v>1-4 years</v>
      </c>
      <c r="H207" s="9">
        <f t="shared" si="2"/>
        <v>28.6</v>
      </c>
      <c r="I207" s="5">
        <f t="shared" si="3"/>
        <v>1</v>
      </c>
      <c r="J207" s="5">
        <f t="shared" si="4"/>
        <v>8122377.622</v>
      </c>
    </row>
    <row r="208">
      <c r="A208" s="11">
        <v>1.0</v>
      </c>
      <c r="B208" s="5" t="str">
        <f>IFERROR(__xludf.DUMMYFUNCTION("""COMPUTED_VALUE"""),"Accidents (unintentional injuries) (V01-X59,Y85-Y86)")</f>
        <v>Accidents (unintentional injuries) (V01-X59,Y85-Y86)</v>
      </c>
      <c r="C208" s="8">
        <f>IFERROR(__xludf.DUMMYFUNCTION("""COMPUTED_VALUE"""),831.0)</f>
        <v>831</v>
      </c>
      <c r="D208" s="5">
        <f>IFERROR(__xludf.DUMMYFUNCTION("""COMPUTED_VALUE"""),35.8)</f>
        <v>35.8</v>
      </c>
      <c r="E208" s="9">
        <f>IFERROR(__xludf.DUMMYFUNCTION("""COMPUTED_VALUE"""),10.2)</f>
        <v>10.2</v>
      </c>
      <c r="F208" s="5" t="str">
        <f>IFERROR(__xludf.DUMMYFUNCTION("""COMPUTED_VALUE"""),"male")</f>
        <v>male</v>
      </c>
      <c r="G208" s="5" t="str">
        <f>IFERROR(__xludf.DUMMYFUNCTION("""COMPUTED_VALUE"""),"1-4 years")</f>
        <v>1-4 years</v>
      </c>
      <c r="H208" s="9">
        <f t="shared" si="2"/>
        <v>10.2</v>
      </c>
      <c r="I208" s="5">
        <f t="shared" si="3"/>
        <v>1</v>
      </c>
      <c r="J208" s="5">
        <f t="shared" si="4"/>
        <v>8147058.824</v>
      </c>
    </row>
    <row r="209">
      <c r="A209" s="11">
        <v>2.0</v>
      </c>
      <c r="B209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209" s="8">
        <f>IFERROR(__xludf.DUMMYFUNCTION("""COMPUTED_VALUE"""),232.0)</f>
        <v>232</v>
      </c>
      <c r="D209" s="5">
        <f>IFERROR(__xludf.DUMMYFUNCTION("""COMPUTED_VALUE"""),10.0)</f>
        <v>10</v>
      </c>
      <c r="E209" s="9">
        <f>IFERROR(__xludf.DUMMYFUNCTION("""COMPUTED_VALUE"""),2.9)</f>
        <v>2.9</v>
      </c>
      <c r="F209" s="5" t="str">
        <f>IFERROR(__xludf.DUMMYFUNCTION("""COMPUTED_VALUE"""),"male")</f>
        <v>male</v>
      </c>
      <c r="G209" s="5" t="str">
        <f>IFERROR(__xludf.DUMMYFUNCTION("""COMPUTED_VALUE"""),"1-4 years")</f>
        <v>1-4 years</v>
      </c>
      <c r="H209" s="9">
        <f t="shared" si="2"/>
        <v>2.9</v>
      </c>
      <c r="I209" s="5">
        <f t="shared" si="3"/>
        <v>1</v>
      </c>
      <c r="J209" s="5">
        <f t="shared" si="4"/>
        <v>8000000</v>
      </c>
    </row>
    <row r="210">
      <c r="A210" s="11">
        <v>3.0</v>
      </c>
      <c r="B210" s="5" t="str">
        <f>IFERROR(__xludf.DUMMYFUNCTION("""COMPUTED_VALUE"""),"Assault (homicide) (*U01-*U02,X85-Y09,Y87.1)")</f>
        <v>Assault (homicide) (*U01-*U02,X85-Y09,Y87.1)</v>
      </c>
      <c r="C210" s="8">
        <f>IFERROR(__xludf.DUMMYFUNCTION("""COMPUTED_VALUE"""),184.0)</f>
        <v>184</v>
      </c>
      <c r="D210" s="5">
        <f>IFERROR(__xludf.DUMMYFUNCTION("""COMPUTED_VALUE"""),7.9)</f>
        <v>7.9</v>
      </c>
      <c r="E210" s="9">
        <f>IFERROR(__xludf.DUMMYFUNCTION("""COMPUTED_VALUE"""),2.3)</f>
        <v>2.3</v>
      </c>
      <c r="F210" s="5" t="str">
        <f>IFERROR(__xludf.DUMMYFUNCTION("""COMPUTED_VALUE"""),"male")</f>
        <v>male</v>
      </c>
      <c r="G210" s="5" t="str">
        <f>IFERROR(__xludf.DUMMYFUNCTION("""COMPUTED_VALUE"""),"1-4 years")</f>
        <v>1-4 years</v>
      </c>
      <c r="H210" s="9">
        <f t="shared" si="2"/>
        <v>2.3</v>
      </c>
      <c r="I210" s="5">
        <f t="shared" si="3"/>
        <v>1</v>
      </c>
      <c r="J210" s="5">
        <f t="shared" si="4"/>
        <v>8000000</v>
      </c>
    </row>
    <row r="211">
      <c r="A211" s="11">
        <v>4.0</v>
      </c>
      <c r="B211" s="5" t="str">
        <f>IFERROR(__xludf.DUMMYFUNCTION("""COMPUTED_VALUE"""),"Malignant neoplasms (C00-C97)")</f>
        <v>Malignant neoplasms (C00-C97)</v>
      </c>
      <c r="C211" s="8">
        <f>IFERROR(__xludf.DUMMYFUNCTION("""COMPUTED_VALUE"""),183.0)</f>
        <v>183</v>
      </c>
      <c r="D211" s="5">
        <f>IFERROR(__xludf.DUMMYFUNCTION("""COMPUTED_VALUE"""),7.9)</f>
        <v>7.9</v>
      </c>
      <c r="E211" s="9">
        <f>IFERROR(__xludf.DUMMYFUNCTION("""COMPUTED_VALUE"""),2.2)</f>
        <v>2.2</v>
      </c>
      <c r="F211" s="5" t="str">
        <f>IFERROR(__xludf.DUMMYFUNCTION("""COMPUTED_VALUE"""),"male")</f>
        <v>male</v>
      </c>
      <c r="G211" s="5" t="str">
        <f>IFERROR(__xludf.DUMMYFUNCTION("""COMPUTED_VALUE"""),"1-4 years")</f>
        <v>1-4 years</v>
      </c>
      <c r="H211" s="9">
        <f t="shared" si="2"/>
        <v>2.2</v>
      </c>
      <c r="I211" s="5">
        <f t="shared" si="3"/>
        <v>1</v>
      </c>
      <c r="J211" s="5">
        <f t="shared" si="4"/>
        <v>8318181.818</v>
      </c>
    </row>
    <row r="212">
      <c r="A212" s="11">
        <v>5.0</v>
      </c>
      <c r="B212" s="5" t="str">
        <f>IFERROR(__xludf.DUMMYFUNCTION("""COMPUTED_VALUE"""),"Diseases of heart (I00-I09,I11,I13,I20-I51)")</f>
        <v>Diseases of heart (I00-I09,I11,I13,I20-I51)</v>
      </c>
      <c r="C212" s="8">
        <f>IFERROR(__xludf.DUMMYFUNCTION("""COMPUTED_VALUE"""),96.0)</f>
        <v>96</v>
      </c>
      <c r="D212" s="5">
        <f>IFERROR(__xludf.DUMMYFUNCTION("""COMPUTED_VALUE"""),4.1)</f>
        <v>4.1</v>
      </c>
      <c r="E212" s="9">
        <f>IFERROR(__xludf.DUMMYFUNCTION("""COMPUTED_VALUE"""),1.2)</f>
        <v>1.2</v>
      </c>
      <c r="F212" s="5" t="str">
        <f>IFERROR(__xludf.DUMMYFUNCTION("""COMPUTED_VALUE"""),"male")</f>
        <v>male</v>
      </c>
      <c r="G212" s="5" t="str">
        <f>IFERROR(__xludf.DUMMYFUNCTION("""COMPUTED_VALUE"""),"1-4 years")</f>
        <v>1-4 years</v>
      </c>
      <c r="H212" s="9">
        <f t="shared" si="2"/>
        <v>1.2</v>
      </c>
      <c r="I212" s="5">
        <f t="shared" si="3"/>
        <v>1</v>
      </c>
      <c r="J212" s="5">
        <f t="shared" si="4"/>
        <v>8000000</v>
      </c>
    </row>
    <row r="213">
      <c r="A213" s="11">
        <v>6.0</v>
      </c>
      <c r="B213" s="5" t="str">
        <f>IFERROR(__xludf.DUMMYFUNCTION("""COMPUTED_VALUE"""),"Influenza and pneumonia (J09-J18)")</f>
        <v>Influenza and pneumonia (J09-J18)</v>
      </c>
      <c r="C213" s="8">
        <f>IFERROR(__xludf.DUMMYFUNCTION("""COMPUTED_VALUE"""),53.0)</f>
        <v>53</v>
      </c>
      <c r="D213" s="5">
        <f>IFERROR(__xludf.DUMMYFUNCTION("""COMPUTED_VALUE"""),2.3)</f>
        <v>2.3</v>
      </c>
      <c r="E213" s="9">
        <f>IFERROR(__xludf.DUMMYFUNCTION("""COMPUTED_VALUE"""),0.7)</f>
        <v>0.7</v>
      </c>
      <c r="F213" s="5" t="str">
        <f>IFERROR(__xludf.DUMMYFUNCTION("""COMPUTED_VALUE"""),"male")</f>
        <v>male</v>
      </c>
      <c r="G213" s="5" t="str">
        <f>IFERROR(__xludf.DUMMYFUNCTION("""COMPUTED_VALUE"""),"1-4 years")</f>
        <v>1-4 years</v>
      </c>
      <c r="H213" s="9">
        <f t="shared" si="2"/>
        <v>0.7</v>
      </c>
      <c r="I213" s="5">
        <f t="shared" si="3"/>
        <v>1</v>
      </c>
      <c r="J213" s="5">
        <f t="shared" si="4"/>
        <v>7571428.571</v>
      </c>
    </row>
    <row r="214">
      <c r="A214" s="11">
        <v>7.0</v>
      </c>
      <c r="B214" s="5" t="str">
        <f>IFERROR(__xludf.DUMMYFUNCTION("""COMPUTED_VALUE"""),"Chronic lower respiratory diseases (J40-J47)")</f>
        <v>Chronic lower respiratory diseases (J40-J47)</v>
      </c>
      <c r="C214" s="8">
        <f>IFERROR(__xludf.DUMMYFUNCTION("""COMPUTED_VALUE"""),38.0)</f>
        <v>38</v>
      </c>
      <c r="D214" s="5">
        <f>IFERROR(__xludf.DUMMYFUNCTION("""COMPUTED_VALUE"""),1.6)</f>
        <v>1.6</v>
      </c>
      <c r="E214" s="9">
        <f>IFERROR(__xludf.DUMMYFUNCTION("""COMPUTED_VALUE"""),0.5)</f>
        <v>0.5</v>
      </c>
      <c r="F214" s="5" t="str">
        <f>IFERROR(__xludf.DUMMYFUNCTION("""COMPUTED_VALUE"""),"male")</f>
        <v>male</v>
      </c>
      <c r="G214" s="5" t="str">
        <f>IFERROR(__xludf.DUMMYFUNCTION("""COMPUTED_VALUE"""),"1-4 years")</f>
        <v>1-4 years</v>
      </c>
      <c r="H214" s="9">
        <f t="shared" si="2"/>
        <v>0.5</v>
      </c>
      <c r="I214" s="5">
        <f t="shared" si="3"/>
        <v>1</v>
      </c>
      <c r="J214" s="5">
        <f t="shared" si="4"/>
        <v>7600000</v>
      </c>
    </row>
    <row r="215">
      <c r="A215" s="11">
        <v>8.0</v>
      </c>
      <c r="B215" s="5" t="str">
        <f>IFERROR(__xludf.DUMMYFUNCTION("""COMPUTED_VALUE"""),"Septicemia (A40-A41)")</f>
        <v>Septicemia (A40-A41)</v>
      </c>
      <c r="C215" s="8">
        <f>IFERROR(__xludf.DUMMYFUNCTION("""COMPUTED_VALUE"""),32.0)</f>
        <v>32</v>
      </c>
      <c r="D215" s="5">
        <f>IFERROR(__xludf.DUMMYFUNCTION("""COMPUTED_VALUE"""),1.4)</f>
        <v>1.4</v>
      </c>
      <c r="E215" s="9">
        <f>IFERROR(__xludf.DUMMYFUNCTION("""COMPUTED_VALUE"""),0.4)</f>
        <v>0.4</v>
      </c>
      <c r="F215" s="5" t="str">
        <f>IFERROR(__xludf.DUMMYFUNCTION("""COMPUTED_VALUE"""),"male")</f>
        <v>male</v>
      </c>
      <c r="G215" s="5" t="str">
        <f>IFERROR(__xludf.DUMMYFUNCTION("""COMPUTED_VALUE"""),"1-4 years")</f>
        <v>1-4 years</v>
      </c>
      <c r="H215" s="9">
        <f t="shared" si="2"/>
        <v>0.4</v>
      </c>
      <c r="I215" s="5">
        <f t="shared" si="3"/>
        <v>1</v>
      </c>
      <c r="J215" s="5">
        <f t="shared" si="4"/>
        <v>8000000</v>
      </c>
    </row>
    <row r="216">
      <c r="A216" s="11">
        <v>9.0</v>
      </c>
      <c r="B216" s="5" t="str">
        <f>IFERROR(__xludf.DUMMYFUNCTION("""COMPUTED_VALUE"""),"Certain conditions originating in the perinatal period (P00-P96)")</f>
        <v>Certain conditions originating in the perinatal period (P00-P96)</v>
      </c>
      <c r="C216" s="8">
        <f>IFERROR(__xludf.DUMMYFUNCTION("""COMPUTED_VALUE"""),29.0)</f>
        <v>29</v>
      </c>
      <c r="D216" s="5">
        <f>IFERROR(__xludf.DUMMYFUNCTION("""COMPUTED_VALUE"""),1.2)</f>
        <v>1.2</v>
      </c>
      <c r="E216" s="9">
        <f>IFERROR(__xludf.DUMMYFUNCTION("""COMPUTED_VALUE"""),0.4)</f>
        <v>0.4</v>
      </c>
      <c r="F216" s="5" t="str">
        <f>IFERROR(__xludf.DUMMYFUNCTION("""COMPUTED_VALUE"""),"male")</f>
        <v>male</v>
      </c>
      <c r="G216" s="5" t="str">
        <f>IFERROR(__xludf.DUMMYFUNCTION("""COMPUTED_VALUE"""),"1-4 years")</f>
        <v>1-4 years</v>
      </c>
      <c r="H216" s="9">
        <f t="shared" si="2"/>
        <v>0.4</v>
      </c>
      <c r="I216" s="5">
        <f t="shared" si="3"/>
        <v>1</v>
      </c>
      <c r="J216" s="5">
        <f t="shared" si="4"/>
        <v>7250000</v>
      </c>
    </row>
    <row r="217">
      <c r="A217" s="11">
        <v>10.0</v>
      </c>
      <c r="B217" s="5" t="str">
        <f>IFERROR(__xludf.DUMMYFUNCTION("""COMPUTED_VALUE"""),"Cerebrovascular diseases (I60-I69)")</f>
        <v>Cerebrovascular diseases (I60-I69)</v>
      </c>
      <c r="C217" s="8">
        <f>IFERROR(__xludf.DUMMYFUNCTION("""COMPUTED_VALUE"""),22.0)</f>
        <v>22</v>
      </c>
      <c r="D217" s="5">
        <f>IFERROR(__xludf.DUMMYFUNCTION("""COMPUTED_VALUE"""),0.9)</f>
        <v>0.9</v>
      </c>
      <c r="E217" s="9">
        <f>IFERROR(__xludf.DUMMYFUNCTION("""COMPUTED_VALUE"""),0.3)</f>
        <v>0.3</v>
      </c>
      <c r="F217" s="5" t="str">
        <f>IFERROR(__xludf.DUMMYFUNCTION("""COMPUTED_VALUE"""),"male")</f>
        <v>male</v>
      </c>
      <c r="G217" s="5" t="str">
        <f>IFERROR(__xludf.DUMMYFUNCTION("""COMPUTED_VALUE"""),"1-4 years")</f>
        <v>1-4 years</v>
      </c>
      <c r="H217" s="9">
        <f t="shared" si="2"/>
        <v>0.3</v>
      </c>
      <c r="I217" s="5">
        <f t="shared" si="3"/>
        <v>1</v>
      </c>
      <c r="J217" s="5">
        <f t="shared" si="4"/>
        <v>7333333.333</v>
      </c>
    </row>
    <row r="218">
      <c r="A218" s="11">
        <v>11.0</v>
      </c>
      <c r="B218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218" s="8">
        <f>IFERROR(__xludf.DUMMYFUNCTION("""COMPUTED_VALUE"""),19.0)</f>
        <v>19</v>
      </c>
      <c r="D218" s="5">
        <f>IFERROR(__xludf.DUMMYFUNCTION("""COMPUTED_VALUE"""),0.8)</f>
        <v>0.8</v>
      </c>
      <c r="E218" s="9"/>
      <c r="F218" s="5" t="str">
        <f>IFERROR(__xludf.DUMMYFUNCTION("""COMPUTED_VALUE"""),"male")</f>
        <v>male</v>
      </c>
      <c r="G218" s="5" t="str">
        <f>IFERROR(__xludf.DUMMYFUNCTION("""COMPUTED_VALUE"""),"1-4 years")</f>
        <v>1-4 years</v>
      </c>
      <c r="H218" s="5">
        <f t="shared" si="2"/>
        <v>0</v>
      </c>
      <c r="I218" s="5">
        <f t="shared" si="3"/>
        <v>1</v>
      </c>
      <c r="J218" s="5" t="str">
        <f t="shared" si="4"/>
        <v>#DIV/0!</v>
      </c>
    </row>
    <row r="219">
      <c r="A219" s="11">
        <v>12.0</v>
      </c>
      <c r="B219" s="5" t="str">
        <f>IFERROR(__xludf.DUMMYFUNCTION("""COMPUTED_VALUE"""),"Meningitis (G00,G03)")</f>
        <v>Meningitis (G00,G03)</v>
      </c>
      <c r="C219" s="8">
        <f>IFERROR(__xludf.DUMMYFUNCTION("""COMPUTED_VALUE"""),13.0)</f>
        <v>13</v>
      </c>
      <c r="D219" s="5">
        <f>IFERROR(__xludf.DUMMYFUNCTION("""COMPUTED_VALUE"""),0.6)</f>
        <v>0.6</v>
      </c>
      <c r="E219" s="9"/>
      <c r="F219" s="5" t="str">
        <f>IFERROR(__xludf.DUMMYFUNCTION("""COMPUTED_VALUE"""),"male")</f>
        <v>male</v>
      </c>
      <c r="G219" s="5" t="str">
        <f>IFERROR(__xludf.DUMMYFUNCTION("""COMPUTED_VALUE"""),"1-4 years")</f>
        <v>1-4 years</v>
      </c>
      <c r="H219" s="5">
        <f t="shared" si="2"/>
        <v>0</v>
      </c>
      <c r="I219" s="5">
        <f t="shared" si="3"/>
        <v>1</v>
      </c>
      <c r="J219" s="5" t="str">
        <f t="shared" si="4"/>
        <v>#DIV/0!</v>
      </c>
    </row>
    <row r="220">
      <c r="A220" s="11">
        <v>13.0</v>
      </c>
      <c r="B220" s="5" t="str">
        <f>IFERROR(__xludf.DUMMYFUNCTION("""COMPUTED_VALUE"""),"Anemias (D50-D64)")</f>
        <v>Anemias (D50-D64)</v>
      </c>
      <c r="C220" s="8">
        <f>IFERROR(__xludf.DUMMYFUNCTION("""COMPUTED_VALUE"""),11.0)</f>
        <v>11</v>
      </c>
      <c r="D220" s="5">
        <f>IFERROR(__xludf.DUMMYFUNCTION("""COMPUTED_VALUE"""),0.5)</f>
        <v>0.5</v>
      </c>
      <c r="E220" s="9"/>
      <c r="F220" s="5" t="str">
        <f>IFERROR(__xludf.DUMMYFUNCTION("""COMPUTED_VALUE"""),"male")</f>
        <v>male</v>
      </c>
      <c r="G220" s="5" t="str">
        <f>IFERROR(__xludf.DUMMYFUNCTION("""COMPUTED_VALUE"""),"1-4 years")</f>
        <v>1-4 years</v>
      </c>
      <c r="H220" s="5">
        <f t="shared" si="2"/>
        <v>0</v>
      </c>
      <c r="I220" s="5">
        <f t="shared" si="3"/>
        <v>1</v>
      </c>
      <c r="J220" s="5" t="str">
        <f t="shared" si="4"/>
        <v>#DIV/0!</v>
      </c>
    </row>
    <row r="221">
      <c r="A221" s="11">
        <v>14.0</v>
      </c>
      <c r="B221" s="5" t="str">
        <f>IFERROR(__xludf.DUMMYFUNCTION("""COMPUTED_VALUE"""),"Acute bronchitis and bronchiolitis (J20-J21)")</f>
        <v>Acute bronchitis and bronchiolitis (J20-J21)</v>
      </c>
      <c r="C221" s="8">
        <f>IFERROR(__xludf.DUMMYFUNCTION("""COMPUTED_VALUE"""),7.0)</f>
        <v>7</v>
      </c>
      <c r="D221" s="5">
        <f>IFERROR(__xludf.DUMMYFUNCTION("""COMPUTED_VALUE"""),0.3)</f>
        <v>0.3</v>
      </c>
      <c r="E221" s="9"/>
      <c r="F221" s="5" t="str">
        <f>IFERROR(__xludf.DUMMYFUNCTION("""COMPUTED_VALUE"""),"male")</f>
        <v>male</v>
      </c>
      <c r="G221" s="5" t="str">
        <f>IFERROR(__xludf.DUMMYFUNCTION("""COMPUTED_VALUE"""),"1-4 years")</f>
        <v>1-4 years</v>
      </c>
      <c r="H221" s="5">
        <f t="shared" si="2"/>
        <v>0</v>
      </c>
      <c r="I221" s="5">
        <f t="shared" si="3"/>
        <v>1</v>
      </c>
      <c r="J221" s="5" t="str">
        <f t="shared" si="4"/>
        <v>#DIV/0!</v>
      </c>
    </row>
    <row r="222">
      <c r="A222" s="11">
        <v>14.0</v>
      </c>
      <c r="B222" s="5" t="str">
        <f>IFERROR(__xludf.DUMMYFUNCTION("""COMPUTED_VALUE"""),"Complications of medical and surgical care (Y40-Y84,Y88)")</f>
        <v>Complications of medical and surgical care (Y40-Y84,Y88)</v>
      </c>
      <c r="C222" s="8">
        <f>IFERROR(__xludf.DUMMYFUNCTION("""COMPUTED_VALUE"""),7.0)</f>
        <v>7</v>
      </c>
      <c r="D222" s="5">
        <f>IFERROR(__xludf.DUMMYFUNCTION("""COMPUTED_VALUE"""),0.3)</f>
        <v>0.3</v>
      </c>
      <c r="E222" s="9"/>
      <c r="F222" s="5" t="str">
        <f>IFERROR(__xludf.DUMMYFUNCTION("""COMPUTED_VALUE"""),"male")</f>
        <v>male</v>
      </c>
      <c r="G222" s="5" t="str">
        <f>IFERROR(__xludf.DUMMYFUNCTION("""COMPUTED_VALUE"""),"1-4 years")</f>
        <v>1-4 years</v>
      </c>
      <c r="H222" s="5">
        <f t="shared" si="2"/>
        <v>0</v>
      </c>
      <c r="I222" s="5">
        <f t="shared" si="3"/>
        <v>1</v>
      </c>
      <c r="J222" s="5" t="str">
        <f t="shared" si="4"/>
        <v>#DIV/0!</v>
      </c>
    </row>
    <row r="223">
      <c r="A223" s="7" t="s">
        <v>12</v>
      </c>
      <c r="B223" s="5" t="str">
        <f>IFERROR(__xludf.DUMMYFUNCTION("""COMPUTED_VALUE"""),"All other causes (Residual)")</f>
        <v>All other causes (Residual)</v>
      </c>
      <c r="C223" s="8">
        <f>IFERROR(__xludf.DUMMYFUNCTION("""COMPUTED_VALUE"""),566.0)</f>
        <v>566</v>
      </c>
      <c r="D223" s="5">
        <f>IFERROR(__xludf.DUMMYFUNCTION("""COMPUTED_VALUE"""),24.4)</f>
        <v>24.4</v>
      </c>
      <c r="E223" s="9">
        <f>IFERROR(__xludf.DUMMYFUNCTION("""COMPUTED_VALUE"""),7.0)</f>
        <v>7</v>
      </c>
      <c r="F223" s="5" t="str">
        <f>IFERROR(__xludf.DUMMYFUNCTION("""COMPUTED_VALUE"""),"male")</f>
        <v>male</v>
      </c>
      <c r="G223" s="5" t="str">
        <f>IFERROR(__xludf.DUMMYFUNCTION("""COMPUTED_VALUE"""),"1-4 years")</f>
        <v>1-4 years</v>
      </c>
      <c r="H223" s="9">
        <f t="shared" si="2"/>
        <v>7</v>
      </c>
      <c r="I223" s="5">
        <f t="shared" si="3"/>
        <v>1</v>
      </c>
      <c r="J223" s="5">
        <f t="shared" si="4"/>
        <v>8085714.286</v>
      </c>
    </row>
    <row r="224">
      <c r="A224" s="7" t="s">
        <v>12</v>
      </c>
      <c r="B224" s="5" t="str">
        <f>IFERROR(__xludf.DUMMYFUNCTION("""COMPUTED_VALUE"""),"All causes")</f>
        <v>All causes</v>
      </c>
      <c r="C224" s="8">
        <f>IFERROR(__xludf.DUMMYFUNCTION("""COMPUTED_VALUE"""),3077.0)</f>
        <v>3077</v>
      </c>
      <c r="D224" s="5">
        <f>IFERROR(__xludf.DUMMYFUNCTION("""COMPUTED_VALUE"""),100.0)</f>
        <v>100</v>
      </c>
      <c r="E224" s="9">
        <f>IFERROR(__xludf.DUMMYFUNCTION("""COMPUTED_VALUE"""),14.6)</f>
        <v>14.6</v>
      </c>
      <c r="F224" s="5" t="str">
        <f>IFERROR(__xludf.DUMMYFUNCTION("""COMPUTED_VALUE"""),"male")</f>
        <v>male</v>
      </c>
      <c r="G224" s="5" t="str">
        <f>IFERROR(__xludf.DUMMYFUNCTION("""COMPUTED_VALUE"""),"5-14 years")</f>
        <v>5-14 years</v>
      </c>
      <c r="H224" s="9">
        <f t="shared" si="2"/>
        <v>14.6</v>
      </c>
      <c r="I224" s="5">
        <f t="shared" si="3"/>
        <v>2</v>
      </c>
      <c r="J224" s="5">
        <f t="shared" si="4"/>
        <v>21075342.47</v>
      </c>
    </row>
    <row r="225">
      <c r="A225" s="11">
        <v>1.0</v>
      </c>
      <c r="B225" s="5" t="str">
        <f>IFERROR(__xludf.DUMMYFUNCTION("""COMPUTED_VALUE"""),"Accidents (unintentional injuries) (V01-X59,Y85-Y86)")</f>
        <v>Accidents (unintentional injuries) (V01-X59,Y85-Y86)</v>
      </c>
      <c r="C225" s="8">
        <f>IFERROR(__xludf.DUMMYFUNCTION("""COMPUTED_VALUE"""),950.0)</f>
        <v>950</v>
      </c>
      <c r="D225" s="5">
        <f>IFERROR(__xludf.DUMMYFUNCTION("""COMPUTED_VALUE"""),30.9)</f>
        <v>30.9</v>
      </c>
      <c r="E225" s="9">
        <f>IFERROR(__xludf.DUMMYFUNCTION("""COMPUTED_VALUE"""),4.5)</f>
        <v>4.5</v>
      </c>
      <c r="F225" s="5" t="str">
        <f>IFERROR(__xludf.DUMMYFUNCTION("""COMPUTED_VALUE"""),"male")</f>
        <v>male</v>
      </c>
      <c r="G225" s="5" t="str">
        <f>IFERROR(__xludf.DUMMYFUNCTION("""COMPUTED_VALUE"""),"5-14 years")</f>
        <v>5-14 years</v>
      </c>
      <c r="H225" s="9">
        <f t="shared" si="2"/>
        <v>4.5</v>
      </c>
      <c r="I225" s="5">
        <f t="shared" si="3"/>
        <v>2</v>
      </c>
      <c r="J225" s="5">
        <f t="shared" si="4"/>
        <v>21111111.11</v>
      </c>
    </row>
    <row r="226">
      <c r="A226" s="11">
        <v>2.0</v>
      </c>
      <c r="B226" s="5" t="str">
        <f>IFERROR(__xludf.DUMMYFUNCTION("""COMPUTED_VALUE"""),"Malignant neoplasms (C00-C97)")</f>
        <v>Malignant neoplasms (C00-C97)</v>
      </c>
      <c r="C226" s="8">
        <f>IFERROR(__xludf.DUMMYFUNCTION("""COMPUTED_VALUE"""),471.0)</f>
        <v>471</v>
      </c>
      <c r="D226" s="5">
        <f>IFERROR(__xludf.DUMMYFUNCTION("""COMPUTED_VALUE"""),15.3)</f>
        <v>15.3</v>
      </c>
      <c r="E226" s="9">
        <f>IFERROR(__xludf.DUMMYFUNCTION("""COMPUTED_VALUE"""),2.2)</f>
        <v>2.2</v>
      </c>
      <c r="F226" s="5" t="str">
        <f>IFERROR(__xludf.DUMMYFUNCTION("""COMPUTED_VALUE"""),"male")</f>
        <v>male</v>
      </c>
      <c r="G226" s="5" t="str">
        <f>IFERROR(__xludf.DUMMYFUNCTION("""COMPUTED_VALUE"""),"5-14 years")</f>
        <v>5-14 years</v>
      </c>
      <c r="H226" s="9">
        <f t="shared" si="2"/>
        <v>2.2</v>
      </c>
      <c r="I226" s="5">
        <f t="shared" si="3"/>
        <v>2</v>
      </c>
      <c r="J226" s="5">
        <f t="shared" si="4"/>
        <v>21409090.91</v>
      </c>
    </row>
    <row r="227">
      <c r="A227" s="11">
        <v>3.0</v>
      </c>
      <c r="B227" s="5" t="str">
        <f>IFERROR(__xludf.DUMMYFUNCTION("""COMPUTED_VALUE"""),"Intentional self-harm (suicide) (*U03,X60-X84,Y87.0)")</f>
        <v>Intentional self-harm (suicide) (*U03,X60-X84,Y87.0)</v>
      </c>
      <c r="C227" s="8">
        <f>IFERROR(__xludf.DUMMYFUNCTION("""COMPUTED_VALUE"""),252.0)</f>
        <v>252</v>
      </c>
      <c r="D227" s="5">
        <f>IFERROR(__xludf.DUMMYFUNCTION("""COMPUTED_VALUE"""),8.2)</f>
        <v>8.2</v>
      </c>
      <c r="E227" s="9">
        <f>IFERROR(__xludf.DUMMYFUNCTION("""COMPUTED_VALUE"""),1.2)</f>
        <v>1.2</v>
      </c>
      <c r="F227" s="5" t="str">
        <f>IFERROR(__xludf.DUMMYFUNCTION("""COMPUTED_VALUE"""),"male")</f>
        <v>male</v>
      </c>
      <c r="G227" s="5" t="str">
        <f>IFERROR(__xludf.DUMMYFUNCTION("""COMPUTED_VALUE"""),"5-14 years")</f>
        <v>5-14 years</v>
      </c>
      <c r="H227" s="9">
        <f t="shared" si="2"/>
        <v>1.2</v>
      </c>
      <c r="I227" s="5">
        <f t="shared" si="3"/>
        <v>2</v>
      </c>
      <c r="J227" s="5">
        <f t="shared" si="4"/>
        <v>21000000</v>
      </c>
    </row>
    <row r="228">
      <c r="A228" s="11">
        <v>4.0</v>
      </c>
      <c r="B228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228" s="8">
        <f>IFERROR(__xludf.DUMMYFUNCTION("""COMPUTED_VALUE"""),176.0)</f>
        <v>176</v>
      </c>
      <c r="D228" s="5">
        <f>IFERROR(__xludf.DUMMYFUNCTION("""COMPUTED_VALUE"""),5.7)</f>
        <v>5.7</v>
      </c>
      <c r="E228" s="9">
        <f>IFERROR(__xludf.DUMMYFUNCTION("""COMPUTED_VALUE"""),0.8)</f>
        <v>0.8</v>
      </c>
      <c r="F228" s="5" t="str">
        <f>IFERROR(__xludf.DUMMYFUNCTION("""COMPUTED_VALUE"""),"male")</f>
        <v>male</v>
      </c>
      <c r="G228" s="5" t="str">
        <f>IFERROR(__xludf.DUMMYFUNCTION("""COMPUTED_VALUE"""),"5-14 years")</f>
        <v>5-14 years</v>
      </c>
      <c r="H228" s="9">
        <f t="shared" si="2"/>
        <v>0.8</v>
      </c>
      <c r="I228" s="5">
        <f t="shared" si="3"/>
        <v>2</v>
      </c>
      <c r="J228" s="5">
        <f t="shared" si="4"/>
        <v>22000000</v>
      </c>
    </row>
    <row r="229">
      <c r="A229" s="11">
        <v>5.0</v>
      </c>
      <c r="B229" s="5" t="str">
        <f>IFERROR(__xludf.DUMMYFUNCTION("""COMPUTED_VALUE"""),"Assault (homicide) (*U01-*U02,X85-Y09,Y87.1)")</f>
        <v>Assault (homicide) (*U01-*U02,X85-Y09,Y87.1)</v>
      </c>
      <c r="C229" s="8">
        <f>IFERROR(__xludf.DUMMYFUNCTION("""COMPUTED_VALUE"""),168.0)</f>
        <v>168</v>
      </c>
      <c r="D229" s="5">
        <f>IFERROR(__xludf.DUMMYFUNCTION("""COMPUTED_VALUE"""),5.5)</f>
        <v>5.5</v>
      </c>
      <c r="E229" s="9">
        <f>IFERROR(__xludf.DUMMYFUNCTION("""COMPUTED_VALUE"""),0.8)</f>
        <v>0.8</v>
      </c>
      <c r="F229" s="5" t="str">
        <f>IFERROR(__xludf.DUMMYFUNCTION("""COMPUTED_VALUE"""),"male")</f>
        <v>male</v>
      </c>
      <c r="G229" s="5" t="str">
        <f>IFERROR(__xludf.DUMMYFUNCTION("""COMPUTED_VALUE"""),"5-14 years")</f>
        <v>5-14 years</v>
      </c>
      <c r="H229" s="9">
        <f t="shared" si="2"/>
        <v>0.8</v>
      </c>
      <c r="I229" s="5">
        <f t="shared" si="3"/>
        <v>2</v>
      </c>
      <c r="J229" s="5">
        <f t="shared" si="4"/>
        <v>21000000</v>
      </c>
    </row>
    <row r="230">
      <c r="A230" s="11">
        <v>6.0</v>
      </c>
      <c r="B230" s="5" t="str">
        <f>IFERROR(__xludf.DUMMYFUNCTION("""COMPUTED_VALUE"""),"Chronic lower respiratory diseases (J40-J47)")</f>
        <v>Chronic lower respiratory diseases (J40-J47)</v>
      </c>
      <c r="C230" s="8">
        <f>IFERROR(__xludf.DUMMYFUNCTION("""COMPUTED_VALUE"""),100.0)</f>
        <v>100</v>
      </c>
      <c r="D230" s="5">
        <f>IFERROR(__xludf.DUMMYFUNCTION("""COMPUTED_VALUE"""),3.2)</f>
        <v>3.2</v>
      </c>
      <c r="E230" s="9">
        <f>IFERROR(__xludf.DUMMYFUNCTION("""COMPUTED_VALUE"""),0.5)</f>
        <v>0.5</v>
      </c>
      <c r="F230" s="5" t="str">
        <f>IFERROR(__xludf.DUMMYFUNCTION("""COMPUTED_VALUE"""),"male")</f>
        <v>male</v>
      </c>
      <c r="G230" s="5" t="str">
        <f>IFERROR(__xludf.DUMMYFUNCTION("""COMPUTED_VALUE"""),"5-14 years")</f>
        <v>5-14 years</v>
      </c>
      <c r="H230" s="9">
        <f t="shared" si="2"/>
        <v>0.5</v>
      </c>
      <c r="I230" s="5">
        <f t="shared" si="3"/>
        <v>2</v>
      </c>
      <c r="J230" s="5">
        <f t="shared" si="4"/>
        <v>20000000</v>
      </c>
    </row>
    <row r="231">
      <c r="A231" s="11">
        <v>7.0</v>
      </c>
      <c r="B231" s="5" t="str">
        <f>IFERROR(__xludf.DUMMYFUNCTION("""COMPUTED_VALUE"""),"Diseases of heart (I00-I09,I11,I13,I20-I51)")</f>
        <v>Diseases of heart (I00-I09,I11,I13,I20-I51)</v>
      </c>
      <c r="C231" s="8">
        <f>IFERROR(__xludf.DUMMYFUNCTION("""COMPUTED_VALUE"""),93.0)</f>
        <v>93</v>
      </c>
      <c r="D231" s="5">
        <f>IFERROR(__xludf.DUMMYFUNCTION("""COMPUTED_VALUE"""),3.0)</f>
        <v>3</v>
      </c>
      <c r="E231" s="9">
        <f>IFERROR(__xludf.DUMMYFUNCTION("""COMPUTED_VALUE"""),0.4)</f>
        <v>0.4</v>
      </c>
      <c r="F231" s="5" t="str">
        <f>IFERROR(__xludf.DUMMYFUNCTION("""COMPUTED_VALUE"""),"male")</f>
        <v>male</v>
      </c>
      <c r="G231" s="5" t="str">
        <f>IFERROR(__xludf.DUMMYFUNCTION("""COMPUTED_VALUE"""),"5-14 years")</f>
        <v>5-14 years</v>
      </c>
      <c r="H231" s="9">
        <f t="shared" si="2"/>
        <v>0.4</v>
      </c>
      <c r="I231" s="5">
        <f t="shared" si="3"/>
        <v>2</v>
      </c>
      <c r="J231" s="5">
        <f t="shared" si="4"/>
        <v>23250000</v>
      </c>
    </row>
    <row r="232">
      <c r="A232" s="11">
        <v>8.0</v>
      </c>
      <c r="B232" s="5" t="str">
        <f>IFERROR(__xludf.DUMMYFUNCTION("""COMPUTED_VALUE"""),"Influenza and pneumonia (J09-J18)")</f>
        <v>Influenza and pneumonia (J09-J18)</v>
      </c>
      <c r="C232" s="8">
        <f>IFERROR(__xludf.DUMMYFUNCTION("""COMPUTED_VALUE"""),70.0)</f>
        <v>70</v>
      </c>
      <c r="D232" s="5">
        <f>IFERROR(__xludf.DUMMYFUNCTION("""COMPUTED_VALUE"""),2.3)</f>
        <v>2.3</v>
      </c>
      <c r="E232" s="9">
        <f>IFERROR(__xludf.DUMMYFUNCTION("""COMPUTED_VALUE"""),0.3)</f>
        <v>0.3</v>
      </c>
      <c r="F232" s="5" t="str">
        <f>IFERROR(__xludf.DUMMYFUNCTION("""COMPUTED_VALUE"""),"male")</f>
        <v>male</v>
      </c>
      <c r="G232" s="5" t="str">
        <f>IFERROR(__xludf.DUMMYFUNCTION("""COMPUTED_VALUE"""),"5-14 years")</f>
        <v>5-14 years</v>
      </c>
      <c r="H232" s="9">
        <f t="shared" si="2"/>
        <v>0.3</v>
      </c>
      <c r="I232" s="5">
        <f t="shared" si="3"/>
        <v>2</v>
      </c>
      <c r="J232" s="5">
        <f t="shared" si="4"/>
        <v>23333333.33</v>
      </c>
    </row>
    <row r="233">
      <c r="A233" s="11">
        <v>9.0</v>
      </c>
      <c r="B233" s="5" t="str">
        <f>IFERROR(__xludf.DUMMYFUNCTION("""COMPUTED_VALUE"""),"Cerebrovascular diseases (I60-I69)")</f>
        <v>Cerebrovascular diseases (I60-I69)</v>
      </c>
      <c r="C233" s="8">
        <f>IFERROR(__xludf.DUMMYFUNCTION("""COMPUTED_VALUE"""),44.0)</f>
        <v>44</v>
      </c>
      <c r="D233" s="5">
        <f>IFERROR(__xludf.DUMMYFUNCTION("""COMPUTED_VALUE"""),1.4)</f>
        <v>1.4</v>
      </c>
      <c r="E233" s="9">
        <f>IFERROR(__xludf.DUMMYFUNCTION("""COMPUTED_VALUE"""),0.2)</f>
        <v>0.2</v>
      </c>
      <c r="F233" s="5" t="str">
        <f>IFERROR(__xludf.DUMMYFUNCTION("""COMPUTED_VALUE"""),"male")</f>
        <v>male</v>
      </c>
      <c r="G233" s="5" t="str">
        <f>IFERROR(__xludf.DUMMYFUNCTION("""COMPUTED_VALUE"""),"5-14 years")</f>
        <v>5-14 years</v>
      </c>
      <c r="H233" s="9">
        <f t="shared" si="2"/>
        <v>0.2</v>
      </c>
      <c r="I233" s="5">
        <f t="shared" si="3"/>
        <v>2</v>
      </c>
      <c r="J233" s="5">
        <f t="shared" si="4"/>
        <v>22000000</v>
      </c>
    </row>
    <row r="234">
      <c r="A234" s="11">
        <v>10.0</v>
      </c>
      <c r="B234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234" s="8">
        <f>IFERROR(__xludf.DUMMYFUNCTION("""COMPUTED_VALUE"""),40.0)</f>
        <v>40</v>
      </c>
      <c r="D234" s="5">
        <f>IFERROR(__xludf.DUMMYFUNCTION("""COMPUTED_VALUE"""),1.3)</f>
        <v>1.3</v>
      </c>
      <c r="E234" s="9">
        <f>IFERROR(__xludf.DUMMYFUNCTION("""COMPUTED_VALUE"""),0.2)</f>
        <v>0.2</v>
      </c>
      <c r="F234" s="5" t="str">
        <f>IFERROR(__xludf.DUMMYFUNCTION("""COMPUTED_VALUE"""),"male")</f>
        <v>male</v>
      </c>
      <c r="G234" s="5" t="str">
        <f>IFERROR(__xludf.DUMMYFUNCTION("""COMPUTED_VALUE"""),"5-14 years")</f>
        <v>5-14 years</v>
      </c>
      <c r="H234" s="9">
        <f t="shared" si="2"/>
        <v>0.2</v>
      </c>
      <c r="I234" s="5">
        <f t="shared" si="3"/>
        <v>2</v>
      </c>
      <c r="J234" s="5">
        <f t="shared" si="4"/>
        <v>20000000</v>
      </c>
    </row>
    <row r="235">
      <c r="A235" s="11">
        <v>11.0</v>
      </c>
      <c r="B235" s="5" t="str">
        <f>IFERROR(__xludf.DUMMYFUNCTION("""COMPUTED_VALUE"""),"Septicemia (A40-A41)")</f>
        <v>Septicemia (A40-A41)</v>
      </c>
      <c r="C235" s="8">
        <f>IFERROR(__xludf.DUMMYFUNCTION("""COMPUTED_VALUE"""),32.0)</f>
        <v>32</v>
      </c>
      <c r="D235" s="5">
        <f>IFERROR(__xludf.DUMMYFUNCTION("""COMPUTED_VALUE"""),1.0)</f>
        <v>1</v>
      </c>
      <c r="E235" s="9">
        <f>IFERROR(__xludf.DUMMYFUNCTION("""COMPUTED_VALUE"""),0.2)</f>
        <v>0.2</v>
      </c>
      <c r="F235" s="5" t="str">
        <f>IFERROR(__xludf.DUMMYFUNCTION("""COMPUTED_VALUE"""),"male")</f>
        <v>male</v>
      </c>
      <c r="G235" s="5" t="str">
        <f>IFERROR(__xludf.DUMMYFUNCTION("""COMPUTED_VALUE"""),"5-14 years")</f>
        <v>5-14 years</v>
      </c>
      <c r="H235" s="9">
        <f t="shared" si="2"/>
        <v>0.2</v>
      </c>
      <c r="I235" s="5">
        <f t="shared" si="3"/>
        <v>2</v>
      </c>
      <c r="J235" s="5">
        <f t="shared" si="4"/>
        <v>16000000</v>
      </c>
    </row>
    <row r="236">
      <c r="A236" s="11">
        <v>12.0</v>
      </c>
      <c r="B236" s="5" t="str">
        <f>IFERROR(__xludf.DUMMYFUNCTION("""COMPUTED_VALUE"""),"Certain conditions originating in the perinatal period (P00-P96)")</f>
        <v>Certain conditions originating in the perinatal period (P00-P96)</v>
      </c>
      <c r="C236" s="8">
        <f>IFERROR(__xludf.DUMMYFUNCTION("""COMPUTED_VALUE"""),17.0)</f>
        <v>17</v>
      </c>
      <c r="D236" s="5">
        <f>IFERROR(__xludf.DUMMYFUNCTION("""COMPUTED_VALUE"""),0.6)</f>
        <v>0.6</v>
      </c>
      <c r="E236" s="9"/>
      <c r="F236" s="5" t="str">
        <f>IFERROR(__xludf.DUMMYFUNCTION("""COMPUTED_VALUE"""),"male")</f>
        <v>male</v>
      </c>
      <c r="G236" s="5" t="str">
        <f>IFERROR(__xludf.DUMMYFUNCTION("""COMPUTED_VALUE"""),"5-14 years")</f>
        <v>5-14 years</v>
      </c>
      <c r="H236" s="5">
        <f t="shared" si="2"/>
        <v>0</v>
      </c>
      <c r="I236" s="5">
        <f t="shared" si="3"/>
        <v>2</v>
      </c>
      <c r="J236" s="5" t="str">
        <f t="shared" si="4"/>
        <v>#DIV/0!</v>
      </c>
    </row>
    <row r="237">
      <c r="A237" s="11">
        <v>13.0</v>
      </c>
      <c r="B237" s="5" t="str">
        <f>IFERROR(__xludf.DUMMYFUNCTION("""COMPUTED_VALUE"""),"Complications of medical and surgical care (Y40-Y84,Y88)")</f>
        <v>Complications of medical and surgical care (Y40-Y84,Y88)</v>
      </c>
      <c r="C237" s="8">
        <f>IFERROR(__xludf.DUMMYFUNCTION("""COMPUTED_VALUE"""),15.0)</f>
        <v>15</v>
      </c>
      <c r="D237" s="5">
        <f>IFERROR(__xludf.DUMMYFUNCTION("""COMPUTED_VALUE"""),0.5)</f>
        <v>0.5</v>
      </c>
      <c r="E237" s="9"/>
      <c r="F237" s="5" t="str">
        <f>IFERROR(__xludf.DUMMYFUNCTION("""COMPUTED_VALUE"""),"male")</f>
        <v>male</v>
      </c>
      <c r="G237" s="5" t="str">
        <f>IFERROR(__xludf.DUMMYFUNCTION("""COMPUTED_VALUE"""),"5-14 years")</f>
        <v>5-14 years</v>
      </c>
      <c r="H237" s="5">
        <f t="shared" si="2"/>
        <v>0</v>
      </c>
      <c r="I237" s="5">
        <f t="shared" si="3"/>
        <v>2</v>
      </c>
      <c r="J237" s="5" t="str">
        <f t="shared" si="4"/>
        <v>#DIV/0!</v>
      </c>
    </row>
    <row r="238">
      <c r="A238" s="11">
        <v>14.0</v>
      </c>
      <c r="B238" s="5" t="str">
        <f>IFERROR(__xludf.DUMMYFUNCTION("""COMPUTED_VALUE"""),"Diabetes mellitus (E10-E14)")</f>
        <v>Diabetes mellitus (E10-E14)</v>
      </c>
      <c r="C238" s="8">
        <f>IFERROR(__xludf.DUMMYFUNCTION("""COMPUTED_VALUE"""),12.0)</f>
        <v>12</v>
      </c>
      <c r="D238" s="5">
        <f>IFERROR(__xludf.DUMMYFUNCTION("""COMPUTED_VALUE"""),0.4)</f>
        <v>0.4</v>
      </c>
      <c r="E238" s="9"/>
      <c r="F238" s="5" t="str">
        <f>IFERROR(__xludf.DUMMYFUNCTION("""COMPUTED_VALUE"""),"male")</f>
        <v>male</v>
      </c>
      <c r="G238" s="5" t="str">
        <f>IFERROR(__xludf.DUMMYFUNCTION("""COMPUTED_VALUE"""),"5-14 years")</f>
        <v>5-14 years</v>
      </c>
      <c r="H238" s="5">
        <f t="shared" si="2"/>
        <v>0</v>
      </c>
      <c r="I238" s="5">
        <f t="shared" si="3"/>
        <v>2</v>
      </c>
      <c r="J238" s="5" t="str">
        <f t="shared" si="4"/>
        <v>#DIV/0!</v>
      </c>
    </row>
    <row r="239">
      <c r="A239" s="11">
        <v>15.0</v>
      </c>
      <c r="B239" s="5" t="str">
        <f>IFERROR(__xludf.DUMMYFUNCTION("""COMPUTED_VALUE"""),"Meningitis (G00,G03)")</f>
        <v>Meningitis (G00,G03)</v>
      </c>
      <c r="C239" s="8">
        <f>IFERROR(__xludf.DUMMYFUNCTION("""COMPUTED_VALUE"""),11.0)</f>
        <v>11</v>
      </c>
      <c r="D239" s="5">
        <f>IFERROR(__xludf.DUMMYFUNCTION("""COMPUTED_VALUE"""),0.4)</f>
        <v>0.4</v>
      </c>
      <c r="E239" s="9"/>
      <c r="F239" s="5" t="str">
        <f>IFERROR(__xludf.DUMMYFUNCTION("""COMPUTED_VALUE"""),"male")</f>
        <v>male</v>
      </c>
      <c r="G239" s="5" t="str">
        <f>IFERROR(__xludf.DUMMYFUNCTION("""COMPUTED_VALUE"""),"5-14 years")</f>
        <v>5-14 years</v>
      </c>
      <c r="H239" s="5">
        <f t="shared" si="2"/>
        <v>0</v>
      </c>
      <c r="I239" s="5">
        <f t="shared" si="3"/>
        <v>2</v>
      </c>
      <c r="J239" s="5" t="str">
        <f t="shared" si="4"/>
        <v>#DIV/0!</v>
      </c>
    </row>
    <row r="240">
      <c r="A240" s="7" t="s">
        <v>12</v>
      </c>
      <c r="B240" s="5" t="str">
        <f>IFERROR(__xludf.DUMMYFUNCTION("""COMPUTED_VALUE"""),"All other causes (Residual)")</f>
        <v>All other causes (Residual)</v>
      </c>
      <c r="C240" s="8">
        <f>IFERROR(__xludf.DUMMYFUNCTION("""COMPUTED_VALUE"""),626.0)</f>
        <v>626</v>
      </c>
      <c r="D240" s="5">
        <f>IFERROR(__xludf.DUMMYFUNCTION("""COMPUTED_VALUE"""),20.3)</f>
        <v>20.3</v>
      </c>
      <c r="E240" s="9">
        <f>IFERROR(__xludf.DUMMYFUNCTION("""COMPUTED_VALUE"""),3.0)</f>
        <v>3</v>
      </c>
      <c r="F240" s="5" t="str">
        <f>IFERROR(__xludf.DUMMYFUNCTION("""COMPUTED_VALUE"""),"male")</f>
        <v>male</v>
      </c>
      <c r="G240" s="5" t="str">
        <f>IFERROR(__xludf.DUMMYFUNCTION("""COMPUTED_VALUE"""),"5-14 years")</f>
        <v>5-14 years</v>
      </c>
      <c r="H240" s="9">
        <f t="shared" ref="H240:H343" si="6">IF(E240="*", 0, E240)</f>
        <v>3</v>
      </c>
      <c r="I240" s="5">
        <f t="shared" si="3"/>
        <v>2</v>
      </c>
      <c r="J240" s="5">
        <f t="shared" si="4"/>
        <v>20866666.67</v>
      </c>
    </row>
    <row r="241">
      <c r="A241" s="7" t="s">
        <v>12</v>
      </c>
      <c r="B241" s="5" t="str">
        <f>IFERROR(__xludf.DUMMYFUNCTION("""COMPUTED_VALUE"""),"All causes")</f>
        <v>All causes</v>
      </c>
      <c r="C241" s="8">
        <f>IFERROR(__xludf.DUMMYFUNCTION("""COMPUTED_VALUE"""),20864.0)</f>
        <v>20864</v>
      </c>
      <c r="D241" s="5">
        <f>IFERROR(__xludf.DUMMYFUNCTION("""COMPUTED_VALUE"""),100.0)</f>
        <v>100</v>
      </c>
      <c r="E241" s="9">
        <f>IFERROR(__xludf.DUMMYFUNCTION("""COMPUTED_VALUE"""),92.6)</f>
        <v>92.6</v>
      </c>
      <c r="F241" s="5" t="str">
        <f>IFERROR(__xludf.DUMMYFUNCTION("""COMPUTED_VALUE"""),"male")</f>
        <v>male</v>
      </c>
      <c r="G241" s="5" t="str">
        <f>IFERROR(__xludf.DUMMYFUNCTION("""COMPUTED_VALUE"""),"15-24 years")</f>
        <v>15-24 years</v>
      </c>
      <c r="H241" s="9">
        <f t="shared" si="6"/>
        <v>92.6</v>
      </c>
      <c r="I241" s="5">
        <f t="shared" si="3"/>
        <v>3</v>
      </c>
      <c r="J241" s="5">
        <f t="shared" si="4"/>
        <v>22531317.49</v>
      </c>
    </row>
    <row r="242">
      <c r="A242" s="11">
        <v>1.0</v>
      </c>
      <c r="B242" s="5" t="str">
        <f>IFERROR(__xludf.DUMMYFUNCTION("""COMPUTED_VALUE"""),"Accidents (unintentional injuries) (V01-X59,Y85-Y86)")</f>
        <v>Accidents (unintentional injuries) (V01-X59,Y85-Y86)</v>
      </c>
      <c r="C242" s="8">
        <f>IFERROR(__xludf.DUMMYFUNCTION("""COMPUTED_VALUE"""),8545.0)</f>
        <v>8545</v>
      </c>
      <c r="D242" s="5">
        <f>IFERROR(__xludf.DUMMYFUNCTION("""COMPUTED_VALUE"""),41.0)</f>
        <v>41</v>
      </c>
      <c r="E242" s="9">
        <f>IFERROR(__xludf.DUMMYFUNCTION("""COMPUTED_VALUE"""),37.9)</f>
        <v>37.9</v>
      </c>
      <c r="F242" s="5" t="str">
        <f>IFERROR(__xludf.DUMMYFUNCTION("""COMPUTED_VALUE"""),"male")</f>
        <v>male</v>
      </c>
      <c r="G242" s="5" t="str">
        <f>IFERROR(__xludf.DUMMYFUNCTION("""COMPUTED_VALUE"""),"15-24 years")</f>
        <v>15-24 years</v>
      </c>
      <c r="H242" s="9">
        <f t="shared" si="6"/>
        <v>37.9</v>
      </c>
      <c r="I242" s="5">
        <f t="shared" si="3"/>
        <v>3</v>
      </c>
      <c r="J242" s="5">
        <f t="shared" si="4"/>
        <v>22546174.14</v>
      </c>
    </row>
    <row r="243">
      <c r="A243" s="11">
        <v>2.0</v>
      </c>
      <c r="B243" s="5" t="str">
        <f>IFERROR(__xludf.DUMMYFUNCTION("""COMPUTED_VALUE"""),"Intentional self-harm (suicide) (*U03,X60-X84,Y87.0)")</f>
        <v>Intentional self-harm (suicide) (*U03,X60-X84,Y87.0)</v>
      </c>
      <c r="C243" s="8">
        <f>IFERROR(__xludf.DUMMYFUNCTION("""COMPUTED_VALUE"""),3903.0)</f>
        <v>3903</v>
      </c>
      <c r="D243" s="5">
        <f>IFERROR(__xludf.DUMMYFUNCTION("""COMPUTED_VALUE"""),18.7)</f>
        <v>18.7</v>
      </c>
      <c r="E243" s="9">
        <f>IFERROR(__xludf.DUMMYFUNCTION("""COMPUTED_VALUE"""),17.3)</f>
        <v>17.3</v>
      </c>
      <c r="F243" s="5" t="str">
        <f>IFERROR(__xludf.DUMMYFUNCTION("""COMPUTED_VALUE"""),"male")</f>
        <v>male</v>
      </c>
      <c r="G243" s="5" t="str">
        <f>IFERROR(__xludf.DUMMYFUNCTION("""COMPUTED_VALUE"""),"15-24 years")</f>
        <v>15-24 years</v>
      </c>
      <c r="H243" s="9">
        <f t="shared" si="6"/>
        <v>17.3</v>
      </c>
      <c r="I243" s="5">
        <f t="shared" si="3"/>
        <v>3</v>
      </c>
      <c r="J243" s="5">
        <f t="shared" si="4"/>
        <v>22560693.64</v>
      </c>
    </row>
    <row r="244">
      <c r="A244" s="11">
        <v>3.0</v>
      </c>
      <c r="B244" s="5" t="str">
        <f>IFERROR(__xludf.DUMMYFUNCTION("""COMPUTED_VALUE"""),"Assault (homicide) (*U01-*U02,X85-Y09,Y87.1)")</f>
        <v>Assault (homicide) (*U01-*U02,X85-Y09,Y87.1)</v>
      </c>
      <c r="C244" s="8">
        <f>IFERROR(__xludf.DUMMYFUNCTION("""COMPUTED_VALUE"""),3765.0)</f>
        <v>3765</v>
      </c>
      <c r="D244" s="5">
        <f>IFERROR(__xludf.DUMMYFUNCTION("""COMPUTED_VALUE"""),18.0)</f>
        <v>18</v>
      </c>
      <c r="E244" s="9">
        <f>IFERROR(__xludf.DUMMYFUNCTION("""COMPUTED_VALUE"""),16.7)</f>
        <v>16.7</v>
      </c>
      <c r="F244" s="5" t="str">
        <f>IFERROR(__xludf.DUMMYFUNCTION("""COMPUTED_VALUE"""),"male")</f>
        <v>male</v>
      </c>
      <c r="G244" s="5" t="str">
        <f>IFERROR(__xludf.DUMMYFUNCTION("""COMPUTED_VALUE"""),"15-24 years")</f>
        <v>15-24 years</v>
      </c>
      <c r="H244" s="9">
        <f t="shared" si="6"/>
        <v>16.7</v>
      </c>
      <c r="I244" s="5">
        <f t="shared" si="3"/>
        <v>3</v>
      </c>
      <c r="J244" s="5">
        <f t="shared" si="4"/>
        <v>22544910.18</v>
      </c>
    </row>
    <row r="245">
      <c r="A245" s="11">
        <v>4.0</v>
      </c>
      <c r="B245" s="5" t="str">
        <f>IFERROR(__xludf.DUMMYFUNCTION("""COMPUTED_VALUE"""),"Malignant neoplasms (C00-C97)")</f>
        <v>Malignant neoplasms (C00-C97)</v>
      </c>
      <c r="C245" s="8">
        <f>IFERROR(__xludf.DUMMYFUNCTION("""COMPUTED_VALUE"""),859.0)</f>
        <v>859</v>
      </c>
      <c r="D245" s="5">
        <f>IFERROR(__xludf.DUMMYFUNCTION("""COMPUTED_VALUE"""),4.1)</f>
        <v>4.1</v>
      </c>
      <c r="E245" s="9">
        <f>IFERROR(__xludf.DUMMYFUNCTION("""COMPUTED_VALUE"""),3.8)</f>
        <v>3.8</v>
      </c>
      <c r="F245" s="5" t="str">
        <f>IFERROR(__xludf.DUMMYFUNCTION("""COMPUTED_VALUE"""),"male")</f>
        <v>male</v>
      </c>
      <c r="G245" s="5" t="str">
        <f>IFERROR(__xludf.DUMMYFUNCTION("""COMPUTED_VALUE"""),"15-24 years")</f>
        <v>15-24 years</v>
      </c>
      <c r="H245" s="9">
        <f t="shared" si="6"/>
        <v>3.8</v>
      </c>
      <c r="I245" s="5">
        <f t="shared" si="3"/>
        <v>3</v>
      </c>
      <c r="J245" s="5">
        <f t="shared" si="4"/>
        <v>22605263.16</v>
      </c>
    </row>
    <row r="246">
      <c r="A246" s="11">
        <v>5.0</v>
      </c>
      <c r="B246" s="5" t="str">
        <f>IFERROR(__xludf.DUMMYFUNCTION("""COMPUTED_VALUE"""),"Diseases of heart (I00-I09,I11,I13,I20-I51)")</f>
        <v>Diseases of heart (I00-I09,I11,I13,I20-I51)</v>
      </c>
      <c r="C246" s="8">
        <f>IFERROR(__xludf.DUMMYFUNCTION("""COMPUTED_VALUE"""),628.0)</f>
        <v>628</v>
      </c>
      <c r="D246" s="5">
        <f>IFERROR(__xludf.DUMMYFUNCTION("""COMPUTED_VALUE"""),3.0)</f>
        <v>3</v>
      </c>
      <c r="E246" s="9">
        <f>IFERROR(__xludf.DUMMYFUNCTION("""COMPUTED_VALUE"""),2.8)</f>
        <v>2.8</v>
      </c>
      <c r="F246" s="5" t="str">
        <f>IFERROR(__xludf.DUMMYFUNCTION("""COMPUTED_VALUE"""),"male")</f>
        <v>male</v>
      </c>
      <c r="G246" s="5" t="str">
        <f>IFERROR(__xludf.DUMMYFUNCTION("""COMPUTED_VALUE"""),"15-24 years")</f>
        <v>15-24 years</v>
      </c>
      <c r="H246" s="9">
        <f t="shared" si="6"/>
        <v>2.8</v>
      </c>
      <c r="I246" s="5">
        <f t="shared" si="3"/>
        <v>3</v>
      </c>
      <c r="J246" s="5">
        <f t="shared" si="4"/>
        <v>22428571.43</v>
      </c>
    </row>
    <row r="247">
      <c r="A247" s="11">
        <v>6.0</v>
      </c>
      <c r="B247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247" s="8">
        <f>IFERROR(__xludf.DUMMYFUNCTION("""COMPUTED_VALUE"""),223.0)</f>
        <v>223</v>
      </c>
      <c r="D247" s="5">
        <f>IFERROR(__xludf.DUMMYFUNCTION("""COMPUTED_VALUE"""),1.1)</f>
        <v>1.1</v>
      </c>
      <c r="E247" s="9">
        <f>IFERROR(__xludf.DUMMYFUNCTION("""COMPUTED_VALUE"""),1.0)</f>
        <v>1</v>
      </c>
      <c r="F247" s="5" t="str">
        <f>IFERROR(__xludf.DUMMYFUNCTION("""COMPUTED_VALUE"""),"male")</f>
        <v>male</v>
      </c>
      <c r="G247" s="5" t="str">
        <f>IFERROR(__xludf.DUMMYFUNCTION("""COMPUTED_VALUE"""),"15-24 years")</f>
        <v>15-24 years</v>
      </c>
      <c r="H247" s="9">
        <f t="shared" si="6"/>
        <v>1</v>
      </c>
      <c r="I247" s="5">
        <f t="shared" si="3"/>
        <v>3</v>
      </c>
      <c r="J247" s="5">
        <f t="shared" si="4"/>
        <v>22300000</v>
      </c>
    </row>
    <row r="248">
      <c r="A248" s="11">
        <v>7.0</v>
      </c>
      <c r="B248" s="5" t="str">
        <f>IFERROR(__xludf.DUMMYFUNCTION("""COMPUTED_VALUE"""),"Diabetes mellitus (E10-E14)")</f>
        <v>Diabetes mellitus (E10-E14)</v>
      </c>
      <c r="C248" s="8">
        <f>IFERROR(__xludf.DUMMYFUNCTION("""COMPUTED_VALUE"""),120.0)</f>
        <v>120</v>
      </c>
      <c r="D248" s="5">
        <f>IFERROR(__xludf.DUMMYFUNCTION("""COMPUTED_VALUE"""),0.6)</f>
        <v>0.6</v>
      </c>
      <c r="E248" s="9">
        <f>IFERROR(__xludf.DUMMYFUNCTION("""COMPUTED_VALUE"""),0.5)</f>
        <v>0.5</v>
      </c>
      <c r="F248" s="5" t="str">
        <f>IFERROR(__xludf.DUMMYFUNCTION("""COMPUTED_VALUE"""),"male")</f>
        <v>male</v>
      </c>
      <c r="G248" s="5" t="str">
        <f>IFERROR(__xludf.DUMMYFUNCTION("""COMPUTED_VALUE"""),"15-24 years")</f>
        <v>15-24 years</v>
      </c>
      <c r="H248" s="9">
        <f t="shared" si="6"/>
        <v>0.5</v>
      </c>
      <c r="I248" s="5">
        <f t="shared" si="3"/>
        <v>3</v>
      </c>
      <c r="J248" s="5">
        <f t="shared" si="4"/>
        <v>24000000</v>
      </c>
    </row>
    <row r="249">
      <c r="A249" s="11">
        <v>8.0</v>
      </c>
      <c r="B249" s="5" t="str">
        <f>IFERROR(__xludf.DUMMYFUNCTION("""COMPUTED_VALUE"""),"Influenza and pneumonia (J09-J18)")</f>
        <v>Influenza and pneumonia (J09-J18)</v>
      </c>
      <c r="C249" s="8">
        <f>IFERROR(__xludf.DUMMYFUNCTION("""COMPUTED_VALUE"""),114.0)</f>
        <v>114</v>
      </c>
      <c r="D249" s="5">
        <f>IFERROR(__xludf.DUMMYFUNCTION("""COMPUTED_VALUE"""),0.5)</f>
        <v>0.5</v>
      </c>
      <c r="E249" s="9">
        <f>IFERROR(__xludf.DUMMYFUNCTION("""COMPUTED_VALUE"""),0.5)</f>
        <v>0.5</v>
      </c>
      <c r="F249" s="5" t="str">
        <f>IFERROR(__xludf.DUMMYFUNCTION("""COMPUTED_VALUE"""),"male")</f>
        <v>male</v>
      </c>
      <c r="G249" s="5" t="str">
        <f>IFERROR(__xludf.DUMMYFUNCTION("""COMPUTED_VALUE"""),"15-24 years")</f>
        <v>15-24 years</v>
      </c>
      <c r="H249" s="9">
        <f t="shared" si="6"/>
        <v>0.5</v>
      </c>
      <c r="I249" s="5">
        <f t="shared" si="3"/>
        <v>3</v>
      </c>
      <c r="J249" s="5">
        <f t="shared" si="4"/>
        <v>22800000</v>
      </c>
    </row>
    <row r="250">
      <c r="A250" s="11">
        <v>9.0</v>
      </c>
      <c r="B250" s="5" t="str">
        <f>IFERROR(__xludf.DUMMYFUNCTION("""COMPUTED_VALUE"""),"Chronic lower respiratory diseases (J40-J47)")</f>
        <v>Chronic lower respiratory diseases (J40-J47)</v>
      </c>
      <c r="C250" s="8">
        <f>IFERROR(__xludf.DUMMYFUNCTION("""COMPUTED_VALUE"""),101.0)</f>
        <v>101</v>
      </c>
      <c r="D250" s="5">
        <f>IFERROR(__xludf.DUMMYFUNCTION("""COMPUTED_VALUE"""),0.5)</f>
        <v>0.5</v>
      </c>
      <c r="E250" s="9">
        <f>IFERROR(__xludf.DUMMYFUNCTION("""COMPUTED_VALUE"""),0.4)</f>
        <v>0.4</v>
      </c>
      <c r="F250" s="5" t="str">
        <f>IFERROR(__xludf.DUMMYFUNCTION("""COMPUTED_VALUE"""),"male")</f>
        <v>male</v>
      </c>
      <c r="G250" s="5" t="str">
        <f>IFERROR(__xludf.DUMMYFUNCTION("""COMPUTED_VALUE"""),"15-24 years")</f>
        <v>15-24 years</v>
      </c>
      <c r="H250" s="9">
        <f t="shared" si="6"/>
        <v>0.4</v>
      </c>
      <c r="I250" s="5">
        <f t="shared" si="3"/>
        <v>3</v>
      </c>
      <c r="J250" s="5">
        <f t="shared" si="4"/>
        <v>25250000</v>
      </c>
    </row>
    <row r="251">
      <c r="A251" s="11">
        <v>10.0</v>
      </c>
      <c r="B251" s="5" t="str">
        <f>IFERROR(__xludf.DUMMYFUNCTION("""COMPUTED_VALUE"""),"Legal intervention (Y35,Y89.0)")</f>
        <v>Legal intervention (Y35,Y89.0)</v>
      </c>
      <c r="C251" s="8">
        <f>IFERROR(__xludf.DUMMYFUNCTION("""COMPUTED_VALUE"""),95.0)</f>
        <v>95</v>
      </c>
      <c r="D251" s="5">
        <f>IFERROR(__xludf.DUMMYFUNCTION("""COMPUTED_VALUE"""),0.5)</f>
        <v>0.5</v>
      </c>
      <c r="E251" s="9">
        <f>IFERROR(__xludf.DUMMYFUNCTION("""COMPUTED_VALUE"""),0.4)</f>
        <v>0.4</v>
      </c>
      <c r="F251" s="5" t="str">
        <f>IFERROR(__xludf.DUMMYFUNCTION("""COMPUTED_VALUE"""),"male")</f>
        <v>male</v>
      </c>
      <c r="G251" s="5" t="str">
        <f>IFERROR(__xludf.DUMMYFUNCTION("""COMPUTED_VALUE"""),"15-24 years")</f>
        <v>15-24 years</v>
      </c>
      <c r="H251" s="9">
        <f t="shared" si="6"/>
        <v>0.4</v>
      </c>
      <c r="I251" s="5">
        <f t="shared" si="3"/>
        <v>3</v>
      </c>
      <c r="J251" s="5">
        <f t="shared" si="4"/>
        <v>23750000</v>
      </c>
    </row>
    <row r="252">
      <c r="A252" s="11">
        <v>11.0</v>
      </c>
      <c r="B252" s="5" t="str">
        <f>IFERROR(__xludf.DUMMYFUNCTION("""COMPUTED_VALUE"""),"Cerebrovascular diseases (I60-I69)")</f>
        <v>Cerebrovascular diseases (I60-I69)</v>
      </c>
      <c r="C252" s="8">
        <f>IFERROR(__xludf.DUMMYFUNCTION("""COMPUTED_VALUE"""),85.0)</f>
        <v>85</v>
      </c>
      <c r="D252" s="5">
        <f>IFERROR(__xludf.DUMMYFUNCTION("""COMPUTED_VALUE"""),0.4)</f>
        <v>0.4</v>
      </c>
      <c r="E252" s="9">
        <f>IFERROR(__xludf.DUMMYFUNCTION("""COMPUTED_VALUE"""),0.4)</f>
        <v>0.4</v>
      </c>
      <c r="F252" s="5" t="str">
        <f>IFERROR(__xludf.DUMMYFUNCTION("""COMPUTED_VALUE"""),"male")</f>
        <v>male</v>
      </c>
      <c r="G252" s="5" t="str">
        <f>IFERROR(__xludf.DUMMYFUNCTION("""COMPUTED_VALUE"""),"15-24 years")</f>
        <v>15-24 years</v>
      </c>
      <c r="H252" s="9">
        <f t="shared" si="6"/>
        <v>0.4</v>
      </c>
      <c r="I252" s="5">
        <f t="shared" si="3"/>
        <v>3</v>
      </c>
      <c r="J252" s="5">
        <f t="shared" si="4"/>
        <v>21250000</v>
      </c>
    </row>
    <row r="253">
      <c r="A253" s="11">
        <v>12.0</v>
      </c>
      <c r="B253" s="5" t="str">
        <f>IFERROR(__xludf.DUMMYFUNCTION("""COMPUTED_VALUE"""),"Human immunodeficiency virus (HIV) disease (B20-B24)")</f>
        <v>Human immunodeficiency virus (HIV) disease (B20-B24)</v>
      </c>
      <c r="C253" s="8">
        <f>IFERROR(__xludf.DUMMYFUNCTION("""COMPUTED_VALUE"""),81.0)</f>
        <v>81</v>
      </c>
      <c r="D253" s="5">
        <f>IFERROR(__xludf.DUMMYFUNCTION("""COMPUTED_VALUE"""),0.4)</f>
        <v>0.4</v>
      </c>
      <c r="E253" s="9">
        <f>IFERROR(__xludf.DUMMYFUNCTION("""COMPUTED_VALUE"""),0.4)</f>
        <v>0.4</v>
      </c>
      <c r="F253" s="5" t="str">
        <f>IFERROR(__xludf.DUMMYFUNCTION("""COMPUTED_VALUE"""),"male")</f>
        <v>male</v>
      </c>
      <c r="G253" s="5" t="str">
        <f>IFERROR(__xludf.DUMMYFUNCTION("""COMPUTED_VALUE"""),"15-24 years")</f>
        <v>15-24 years</v>
      </c>
      <c r="H253" s="9">
        <f t="shared" si="6"/>
        <v>0.4</v>
      </c>
      <c r="I253" s="5">
        <f t="shared" si="3"/>
        <v>3</v>
      </c>
      <c r="J253" s="5">
        <f t="shared" si="4"/>
        <v>20250000</v>
      </c>
    </row>
    <row r="254">
      <c r="A254" s="11">
        <v>13.0</v>
      </c>
      <c r="B254" s="5" t="str">
        <f>IFERROR(__xludf.DUMMYFUNCTION("""COMPUTED_VALUE"""),"Septicemia (A40-A41)")</f>
        <v>Septicemia (A40-A41)</v>
      </c>
      <c r="C254" s="8">
        <f>IFERROR(__xludf.DUMMYFUNCTION("""COMPUTED_VALUE"""),74.0)</f>
        <v>74</v>
      </c>
      <c r="D254" s="5">
        <f>IFERROR(__xludf.DUMMYFUNCTION("""COMPUTED_VALUE"""),0.4)</f>
        <v>0.4</v>
      </c>
      <c r="E254" s="9">
        <f>IFERROR(__xludf.DUMMYFUNCTION("""COMPUTED_VALUE"""),0.3)</f>
        <v>0.3</v>
      </c>
      <c r="F254" s="5" t="str">
        <f>IFERROR(__xludf.DUMMYFUNCTION("""COMPUTED_VALUE"""),"male")</f>
        <v>male</v>
      </c>
      <c r="G254" s="5" t="str">
        <f>IFERROR(__xludf.DUMMYFUNCTION("""COMPUTED_VALUE"""),"15-24 years")</f>
        <v>15-24 years</v>
      </c>
      <c r="H254" s="9">
        <f t="shared" si="6"/>
        <v>0.3</v>
      </c>
      <c r="I254" s="5">
        <f t="shared" si="3"/>
        <v>3</v>
      </c>
      <c r="J254" s="5">
        <f t="shared" si="4"/>
        <v>24666666.67</v>
      </c>
    </row>
    <row r="255">
      <c r="A255" s="11">
        <v>14.0</v>
      </c>
      <c r="B255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255" s="8">
        <f>IFERROR(__xludf.DUMMYFUNCTION("""COMPUTED_VALUE"""),57.0)</f>
        <v>57</v>
      </c>
      <c r="D255" s="5">
        <f>IFERROR(__xludf.DUMMYFUNCTION("""COMPUTED_VALUE"""),0.3)</f>
        <v>0.3</v>
      </c>
      <c r="E255" s="9">
        <f>IFERROR(__xludf.DUMMYFUNCTION("""COMPUTED_VALUE"""),0.3)</f>
        <v>0.3</v>
      </c>
      <c r="F255" s="5" t="str">
        <f>IFERROR(__xludf.DUMMYFUNCTION("""COMPUTED_VALUE"""),"male")</f>
        <v>male</v>
      </c>
      <c r="G255" s="5" t="str">
        <f>IFERROR(__xludf.DUMMYFUNCTION("""COMPUTED_VALUE"""),"15-24 years")</f>
        <v>15-24 years</v>
      </c>
      <c r="H255" s="9">
        <f t="shared" si="6"/>
        <v>0.3</v>
      </c>
      <c r="I255" s="5">
        <f t="shared" si="3"/>
        <v>3</v>
      </c>
      <c r="J255" s="5">
        <f t="shared" si="4"/>
        <v>19000000</v>
      </c>
    </row>
    <row r="256">
      <c r="A256" s="11">
        <v>15.0</v>
      </c>
      <c r="B256" s="5" t="str">
        <f>IFERROR(__xludf.DUMMYFUNCTION("""COMPUTED_VALUE"""),"Anemias (D50-D64)")</f>
        <v>Anemias (D50-D64)</v>
      </c>
      <c r="C256" s="8">
        <f>IFERROR(__xludf.DUMMYFUNCTION("""COMPUTED_VALUE"""),54.0)</f>
        <v>54</v>
      </c>
      <c r="D256" s="5">
        <f>IFERROR(__xludf.DUMMYFUNCTION("""COMPUTED_VALUE"""),0.3)</f>
        <v>0.3</v>
      </c>
      <c r="E256" s="9">
        <f>IFERROR(__xludf.DUMMYFUNCTION("""COMPUTED_VALUE"""),0.2)</f>
        <v>0.2</v>
      </c>
      <c r="F256" s="5" t="str">
        <f>IFERROR(__xludf.DUMMYFUNCTION("""COMPUTED_VALUE"""),"male")</f>
        <v>male</v>
      </c>
      <c r="G256" s="5" t="str">
        <f>IFERROR(__xludf.DUMMYFUNCTION("""COMPUTED_VALUE"""),"15-24 years")</f>
        <v>15-24 years</v>
      </c>
      <c r="H256" s="9">
        <f t="shared" si="6"/>
        <v>0.2</v>
      </c>
      <c r="I256" s="5">
        <f t="shared" si="3"/>
        <v>3</v>
      </c>
      <c r="J256" s="5">
        <f t="shared" si="4"/>
        <v>27000000</v>
      </c>
    </row>
    <row r="257">
      <c r="A257" s="7" t="s">
        <v>12</v>
      </c>
      <c r="B257" s="5" t="str">
        <f>IFERROR(__xludf.DUMMYFUNCTION("""COMPUTED_VALUE"""),"All other causes (Residual)")</f>
        <v>All other causes (Residual)</v>
      </c>
      <c r="C257" s="8">
        <f>IFERROR(__xludf.DUMMYFUNCTION("""COMPUTED_VALUE"""),2160.0)</f>
        <v>2160</v>
      </c>
      <c r="D257" s="5">
        <f>IFERROR(__xludf.DUMMYFUNCTION("""COMPUTED_VALUE"""),10.4)</f>
        <v>10.4</v>
      </c>
      <c r="E257" s="9">
        <f>IFERROR(__xludf.DUMMYFUNCTION("""COMPUTED_VALUE"""),9.6)</f>
        <v>9.6</v>
      </c>
      <c r="F257" s="5" t="str">
        <f>IFERROR(__xludf.DUMMYFUNCTION("""COMPUTED_VALUE"""),"male")</f>
        <v>male</v>
      </c>
      <c r="G257" s="5" t="str">
        <f>IFERROR(__xludf.DUMMYFUNCTION("""COMPUTED_VALUE"""),"15-24 years")</f>
        <v>15-24 years</v>
      </c>
      <c r="H257" s="9">
        <f t="shared" si="6"/>
        <v>9.6</v>
      </c>
      <c r="I257" s="5">
        <f t="shared" si="3"/>
        <v>3</v>
      </c>
      <c r="J257" s="5">
        <f t="shared" si="4"/>
        <v>22500000</v>
      </c>
    </row>
    <row r="258">
      <c r="A258" s="7" t="s">
        <v>12</v>
      </c>
      <c r="B258" s="5" t="str">
        <f>IFERROR(__xludf.DUMMYFUNCTION("""COMPUTED_VALUE"""),"All causes")</f>
        <v>All causes</v>
      </c>
      <c r="C258" s="8">
        <f>IFERROR(__xludf.DUMMYFUNCTION("""COMPUTED_VALUE"""),31462.0)</f>
        <v>31462</v>
      </c>
      <c r="D258" s="5">
        <f>IFERROR(__xludf.DUMMYFUNCTION("""COMPUTED_VALUE"""),100.0)</f>
        <v>100</v>
      </c>
      <c r="E258" s="9">
        <f>IFERROR(__xludf.DUMMYFUNCTION("""COMPUTED_VALUE"""),145.4)</f>
        <v>145.4</v>
      </c>
      <c r="F258" s="5" t="str">
        <f>IFERROR(__xludf.DUMMYFUNCTION("""COMPUTED_VALUE"""),"male")</f>
        <v>male</v>
      </c>
      <c r="G258" s="5" t="str">
        <f>IFERROR(__xludf.DUMMYFUNCTION("""COMPUTED_VALUE"""),"25-34 years")</f>
        <v>25-34 years</v>
      </c>
      <c r="H258" s="9">
        <f t="shared" si="6"/>
        <v>145.4</v>
      </c>
      <c r="I258" s="5">
        <f t="shared" si="3"/>
        <v>4</v>
      </c>
      <c r="J258" s="5">
        <f t="shared" si="4"/>
        <v>21638239.34</v>
      </c>
    </row>
    <row r="259">
      <c r="A259" s="11">
        <v>1.0</v>
      </c>
      <c r="B259" s="5" t="str">
        <f>IFERROR(__xludf.DUMMYFUNCTION("""COMPUTED_VALUE"""),"Accidents (unintentional injuries) (V01-X59,Y85-Y86)")</f>
        <v>Accidents (unintentional injuries) (V01-X59,Y85-Y86)</v>
      </c>
      <c r="C259" s="8">
        <f>IFERROR(__xludf.DUMMYFUNCTION("""COMPUTED_VALUE"""),12025.0)</f>
        <v>12025</v>
      </c>
      <c r="D259" s="5">
        <f>IFERROR(__xludf.DUMMYFUNCTION("""COMPUTED_VALUE"""),38.2)</f>
        <v>38.2</v>
      </c>
      <c r="E259" s="9">
        <f>IFERROR(__xludf.DUMMYFUNCTION("""COMPUTED_VALUE"""),55.6)</f>
        <v>55.6</v>
      </c>
      <c r="F259" s="5" t="str">
        <f>IFERROR(__xludf.DUMMYFUNCTION("""COMPUTED_VALUE"""),"male")</f>
        <v>male</v>
      </c>
      <c r="G259" s="5" t="str">
        <f>IFERROR(__xludf.DUMMYFUNCTION("""COMPUTED_VALUE"""),"25-34 years")</f>
        <v>25-34 years</v>
      </c>
      <c r="H259" s="9">
        <f t="shared" si="6"/>
        <v>55.6</v>
      </c>
      <c r="I259" s="5">
        <f t="shared" si="3"/>
        <v>4</v>
      </c>
      <c r="J259" s="5">
        <f t="shared" si="4"/>
        <v>21627697.84</v>
      </c>
    </row>
    <row r="260">
      <c r="A260" s="11">
        <v>2.0</v>
      </c>
      <c r="B260" s="5" t="str">
        <f>IFERROR(__xludf.DUMMYFUNCTION("""COMPUTED_VALUE"""),"Intentional self-harm (suicide) (*U03,X60-X84,Y87.0)")</f>
        <v>Intentional self-harm (suicide) (*U03,X60-X84,Y87.0)</v>
      </c>
      <c r="C260" s="8">
        <f>IFERROR(__xludf.DUMMYFUNCTION("""COMPUTED_VALUE"""),5063.0)</f>
        <v>5063</v>
      </c>
      <c r="D260" s="5">
        <f>IFERROR(__xludf.DUMMYFUNCTION("""COMPUTED_VALUE"""),16.1)</f>
        <v>16.1</v>
      </c>
      <c r="E260" s="9">
        <f>IFERROR(__xludf.DUMMYFUNCTION("""COMPUTED_VALUE"""),23.4)</f>
        <v>23.4</v>
      </c>
      <c r="F260" s="5" t="str">
        <f>IFERROR(__xludf.DUMMYFUNCTION("""COMPUTED_VALUE"""),"male")</f>
        <v>male</v>
      </c>
      <c r="G260" s="5" t="str">
        <f>IFERROR(__xludf.DUMMYFUNCTION("""COMPUTED_VALUE"""),"25-34 years")</f>
        <v>25-34 years</v>
      </c>
      <c r="H260" s="9">
        <f t="shared" si="6"/>
        <v>23.4</v>
      </c>
      <c r="I260" s="5">
        <f t="shared" si="3"/>
        <v>4</v>
      </c>
      <c r="J260" s="5">
        <f t="shared" si="4"/>
        <v>21636752.14</v>
      </c>
    </row>
    <row r="261">
      <c r="A261" s="11">
        <v>3.0</v>
      </c>
      <c r="B261" s="5" t="str">
        <f>IFERROR(__xludf.DUMMYFUNCTION("""COMPUTED_VALUE"""),"Assault (homicide) (*U01-*U02,X85-Y09,Y87.1)")</f>
        <v>Assault (homicide) (*U01-*U02,X85-Y09,Y87.1)</v>
      </c>
      <c r="C261" s="8">
        <f>IFERROR(__xludf.DUMMYFUNCTION("""COMPUTED_VALUE"""),3555.0)</f>
        <v>3555</v>
      </c>
      <c r="D261" s="5">
        <f>IFERROR(__xludf.DUMMYFUNCTION("""COMPUTED_VALUE"""),11.3)</f>
        <v>11.3</v>
      </c>
      <c r="E261" s="9">
        <f>IFERROR(__xludf.DUMMYFUNCTION("""COMPUTED_VALUE"""),16.4)</f>
        <v>16.4</v>
      </c>
      <c r="F261" s="5" t="str">
        <f>IFERROR(__xludf.DUMMYFUNCTION("""COMPUTED_VALUE"""),"male")</f>
        <v>male</v>
      </c>
      <c r="G261" s="5" t="str">
        <f>IFERROR(__xludf.DUMMYFUNCTION("""COMPUTED_VALUE"""),"25-34 years")</f>
        <v>25-34 years</v>
      </c>
      <c r="H261" s="9">
        <f t="shared" si="6"/>
        <v>16.4</v>
      </c>
      <c r="I261" s="5">
        <f t="shared" si="3"/>
        <v>4</v>
      </c>
      <c r="J261" s="5">
        <f t="shared" si="4"/>
        <v>21676829.27</v>
      </c>
    </row>
    <row r="262">
      <c r="A262" s="11">
        <v>4.0</v>
      </c>
      <c r="B262" s="5" t="str">
        <f>IFERROR(__xludf.DUMMYFUNCTION("""COMPUTED_VALUE"""),"Diseases of heart (I00-I09,I11,I13,I20-I51)")</f>
        <v>Diseases of heart (I00-I09,I11,I13,I20-I51)</v>
      </c>
      <c r="C262" s="8">
        <f>IFERROR(__xludf.DUMMYFUNCTION("""COMPUTED_VALUE"""),2214.0)</f>
        <v>2214</v>
      </c>
      <c r="D262" s="5">
        <f>IFERROR(__xludf.DUMMYFUNCTION("""COMPUTED_VALUE"""),7.0)</f>
        <v>7</v>
      </c>
      <c r="E262" s="9">
        <f>IFERROR(__xludf.DUMMYFUNCTION("""COMPUTED_VALUE"""),10.2)</f>
        <v>10.2</v>
      </c>
      <c r="F262" s="5" t="str">
        <f>IFERROR(__xludf.DUMMYFUNCTION("""COMPUTED_VALUE"""),"male")</f>
        <v>male</v>
      </c>
      <c r="G262" s="5" t="str">
        <f>IFERROR(__xludf.DUMMYFUNCTION("""COMPUTED_VALUE"""),"25-34 years")</f>
        <v>25-34 years</v>
      </c>
      <c r="H262" s="9">
        <f t="shared" si="6"/>
        <v>10.2</v>
      </c>
      <c r="I262" s="5">
        <f t="shared" si="3"/>
        <v>4</v>
      </c>
      <c r="J262" s="5">
        <f t="shared" si="4"/>
        <v>21705882.35</v>
      </c>
    </row>
    <row r="263">
      <c r="A263" s="11">
        <v>5.0</v>
      </c>
      <c r="B263" s="5" t="str">
        <f>IFERROR(__xludf.DUMMYFUNCTION("""COMPUTED_VALUE"""),"Malignant neoplasms (C00-C97)")</f>
        <v>Malignant neoplasms (C00-C97)</v>
      </c>
      <c r="C263" s="8">
        <f>IFERROR(__xludf.DUMMYFUNCTION("""COMPUTED_VALUE"""),1857.0)</f>
        <v>1857</v>
      </c>
      <c r="D263" s="5">
        <f>IFERROR(__xludf.DUMMYFUNCTION("""COMPUTED_VALUE"""),5.9)</f>
        <v>5.9</v>
      </c>
      <c r="E263" s="9">
        <f>IFERROR(__xludf.DUMMYFUNCTION("""COMPUTED_VALUE"""),8.6)</f>
        <v>8.6</v>
      </c>
      <c r="F263" s="5" t="str">
        <f>IFERROR(__xludf.DUMMYFUNCTION("""COMPUTED_VALUE"""),"male")</f>
        <v>male</v>
      </c>
      <c r="G263" s="5" t="str">
        <f>IFERROR(__xludf.DUMMYFUNCTION("""COMPUTED_VALUE"""),"25-34 years")</f>
        <v>25-34 years</v>
      </c>
      <c r="H263" s="9">
        <f t="shared" si="6"/>
        <v>8.6</v>
      </c>
      <c r="I263" s="5">
        <f t="shared" si="3"/>
        <v>4</v>
      </c>
      <c r="J263" s="5">
        <f t="shared" si="4"/>
        <v>21593023.26</v>
      </c>
    </row>
    <row r="264">
      <c r="A264" s="11">
        <v>6.0</v>
      </c>
      <c r="B264" s="5" t="str">
        <f>IFERROR(__xludf.DUMMYFUNCTION("""COMPUTED_VALUE"""),"Human immunodeficiency virus (HIV) disease (B20-B24)")</f>
        <v>Human immunodeficiency virus (HIV) disease (B20-B24)</v>
      </c>
      <c r="C264" s="8">
        <f>IFERROR(__xludf.DUMMYFUNCTION("""COMPUTED_VALUE"""),457.0)</f>
        <v>457</v>
      </c>
      <c r="D264" s="5">
        <f>IFERROR(__xludf.DUMMYFUNCTION("""COMPUTED_VALUE"""),1.5)</f>
        <v>1.5</v>
      </c>
      <c r="E264" s="9">
        <f>IFERROR(__xludf.DUMMYFUNCTION("""COMPUTED_VALUE"""),2.1)</f>
        <v>2.1</v>
      </c>
      <c r="F264" s="5" t="str">
        <f>IFERROR(__xludf.DUMMYFUNCTION("""COMPUTED_VALUE"""),"male")</f>
        <v>male</v>
      </c>
      <c r="G264" s="5" t="str">
        <f>IFERROR(__xludf.DUMMYFUNCTION("""COMPUTED_VALUE"""),"25-34 years")</f>
        <v>25-34 years</v>
      </c>
      <c r="H264" s="9">
        <f t="shared" si="6"/>
        <v>2.1</v>
      </c>
      <c r="I264" s="5">
        <f t="shared" si="3"/>
        <v>4</v>
      </c>
      <c r="J264" s="5">
        <f t="shared" si="4"/>
        <v>21761904.76</v>
      </c>
    </row>
    <row r="265">
      <c r="A265" s="11">
        <v>7.0</v>
      </c>
      <c r="B265" s="5" t="str">
        <f>IFERROR(__xludf.DUMMYFUNCTION("""COMPUTED_VALUE"""),"Chronic liver disease and cirrhosis (K70,K73-K74)")</f>
        <v>Chronic liver disease and cirrhosis (K70,K73-K74)</v>
      </c>
      <c r="C265" s="8">
        <f>IFERROR(__xludf.DUMMYFUNCTION("""COMPUTED_VALUE"""),435.0)</f>
        <v>435</v>
      </c>
      <c r="D265" s="5">
        <f>IFERROR(__xludf.DUMMYFUNCTION("""COMPUTED_VALUE"""),1.4)</f>
        <v>1.4</v>
      </c>
      <c r="E265" s="9">
        <f>IFERROR(__xludf.DUMMYFUNCTION("""COMPUTED_VALUE"""),2.0)</f>
        <v>2</v>
      </c>
      <c r="F265" s="5" t="str">
        <f>IFERROR(__xludf.DUMMYFUNCTION("""COMPUTED_VALUE"""),"male")</f>
        <v>male</v>
      </c>
      <c r="G265" s="5" t="str">
        <f>IFERROR(__xludf.DUMMYFUNCTION("""COMPUTED_VALUE"""),"25-34 years")</f>
        <v>25-34 years</v>
      </c>
      <c r="H265" s="9">
        <f t="shared" si="6"/>
        <v>2</v>
      </c>
      <c r="I265" s="5">
        <f t="shared" si="3"/>
        <v>4</v>
      </c>
      <c r="J265" s="5">
        <f t="shared" si="4"/>
        <v>21750000</v>
      </c>
    </row>
    <row r="266">
      <c r="A266" s="11">
        <v>8.0</v>
      </c>
      <c r="B266" s="5" t="str">
        <f>IFERROR(__xludf.DUMMYFUNCTION("""COMPUTED_VALUE"""),"Diabetes mellitus (E10-E14)")</f>
        <v>Diabetes mellitus (E10-E14)</v>
      </c>
      <c r="C266" s="8">
        <f>IFERROR(__xludf.DUMMYFUNCTION("""COMPUTED_VALUE"""),403.0)</f>
        <v>403</v>
      </c>
      <c r="D266" s="5">
        <f>IFERROR(__xludf.DUMMYFUNCTION("""COMPUTED_VALUE"""),1.3)</f>
        <v>1.3</v>
      </c>
      <c r="E266" s="9">
        <f>IFERROR(__xludf.DUMMYFUNCTION("""COMPUTED_VALUE"""),1.9)</f>
        <v>1.9</v>
      </c>
      <c r="F266" s="5" t="str">
        <f>IFERROR(__xludf.DUMMYFUNCTION("""COMPUTED_VALUE"""),"male")</f>
        <v>male</v>
      </c>
      <c r="G266" s="5" t="str">
        <f>IFERROR(__xludf.DUMMYFUNCTION("""COMPUTED_VALUE"""),"25-34 years")</f>
        <v>25-34 years</v>
      </c>
      <c r="H266" s="9">
        <f t="shared" si="6"/>
        <v>1.9</v>
      </c>
      <c r="I266" s="5">
        <f t="shared" si="3"/>
        <v>4</v>
      </c>
      <c r="J266" s="5">
        <f t="shared" si="4"/>
        <v>21210526.32</v>
      </c>
    </row>
    <row r="267">
      <c r="A267" s="11">
        <v>9.0</v>
      </c>
      <c r="B267" s="5" t="str">
        <f>IFERROR(__xludf.DUMMYFUNCTION("""COMPUTED_VALUE"""),"Cerebrovascular diseases (I60-I69)")</f>
        <v>Cerebrovascular diseases (I60-I69)</v>
      </c>
      <c r="C267" s="8">
        <f>IFERROR(__xludf.DUMMYFUNCTION("""COMPUTED_VALUE"""),279.0)</f>
        <v>279</v>
      </c>
      <c r="D267" s="5">
        <f>IFERROR(__xludf.DUMMYFUNCTION("""COMPUTED_VALUE"""),0.9)</f>
        <v>0.9</v>
      </c>
      <c r="E267" s="9">
        <f>IFERROR(__xludf.DUMMYFUNCTION("""COMPUTED_VALUE"""),1.3)</f>
        <v>1.3</v>
      </c>
      <c r="F267" s="5" t="str">
        <f>IFERROR(__xludf.DUMMYFUNCTION("""COMPUTED_VALUE"""),"male")</f>
        <v>male</v>
      </c>
      <c r="G267" s="5" t="str">
        <f>IFERROR(__xludf.DUMMYFUNCTION("""COMPUTED_VALUE"""),"25-34 years")</f>
        <v>25-34 years</v>
      </c>
      <c r="H267" s="9">
        <f t="shared" si="6"/>
        <v>1.3</v>
      </c>
      <c r="I267" s="5">
        <f t="shared" si="3"/>
        <v>4</v>
      </c>
      <c r="J267" s="5">
        <f t="shared" si="4"/>
        <v>21461538.46</v>
      </c>
    </row>
    <row r="268">
      <c r="A268" s="11">
        <v>10.0</v>
      </c>
      <c r="B268" s="5" t="str">
        <f>IFERROR(__xludf.DUMMYFUNCTION("""COMPUTED_VALUE"""),"Influenza and pneumonia (J09-J18)")</f>
        <v>Influenza and pneumonia (J09-J18)</v>
      </c>
      <c r="C268" s="8">
        <f>IFERROR(__xludf.DUMMYFUNCTION("""COMPUTED_VALUE"""),253.0)</f>
        <v>253</v>
      </c>
      <c r="D268" s="5">
        <f>IFERROR(__xludf.DUMMYFUNCTION("""COMPUTED_VALUE"""),0.8)</f>
        <v>0.8</v>
      </c>
      <c r="E268" s="9">
        <f>IFERROR(__xludf.DUMMYFUNCTION("""COMPUTED_VALUE"""),1.2)</f>
        <v>1.2</v>
      </c>
      <c r="F268" s="5" t="str">
        <f>IFERROR(__xludf.DUMMYFUNCTION("""COMPUTED_VALUE"""),"male")</f>
        <v>male</v>
      </c>
      <c r="G268" s="5" t="str">
        <f>IFERROR(__xludf.DUMMYFUNCTION("""COMPUTED_VALUE"""),"25-34 years")</f>
        <v>25-34 years</v>
      </c>
      <c r="H268" s="9">
        <f t="shared" si="6"/>
        <v>1.2</v>
      </c>
      <c r="I268" s="5">
        <f t="shared" si="3"/>
        <v>4</v>
      </c>
      <c r="J268" s="5">
        <f t="shared" si="4"/>
        <v>21083333.33</v>
      </c>
    </row>
    <row r="269">
      <c r="A269" s="11">
        <v>11.0</v>
      </c>
      <c r="B269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269" s="8">
        <f>IFERROR(__xludf.DUMMYFUNCTION("""COMPUTED_VALUE"""),240.0)</f>
        <v>240</v>
      </c>
      <c r="D269" s="5">
        <f>IFERROR(__xludf.DUMMYFUNCTION("""COMPUTED_VALUE"""),0.8)</f>
        <v>0.8</v>
      </c>
      <c r="E269" s="9">
        <f>IFERROR(__xludf.DUMMYFUNCTION("""COMPUTED_VALUE"""),1.1)</f>
        <v>1.1</v>
      </c>
      <c r="F269" s="5" t="str">
        <f>IFERROR(__xludf.DUMMYFUNCTION("""COMPUTED_VALUE"""),"male")</f>
        <v>male</v>
      </c>
      <c r="G269" s="5" t="str">
        <f>IFERROR(__xludf.DUMMYFUNCTION("""COMPUTED_VALUE"""),"25-34 years")</f>
        <v>25-34 years</v>
      </c>
      <c r="H269" s="9">
        <f t="shared" si="6"/>
        <v>1.1</v>
      </c>
      <c r="I269" s="5">
        <f t="shared" si="3"/>
        <v>4</v>
      </c>
      <c r="J269" s="5">
        <f t="shared" si="4"/>
        <v>21818181.82</v>
      </c>
    </row>
    <row r="270">
      <c r="A270" s="11">
        <v>12.0</v>
      </c>
      <c r="B270" s="5" t="str">
        <f>IFERROR(__xludf.DUMMYFUNCTION("""COMPUTED_VALUE"""),"Septicemia (A40-A41)")</f>
        <v>Septicemia (A40-A41)</v>
      </c>
      <c r="C270" s="8">
        <f>IFERROR(__xludf.DUMMYFUNCTION("""COMPUTED_VALUE"""),178.0)</f>
        <v>178</v>
      </c>
      <c r="D270" s="5">
        <f>IFERROR(__xludf.DUMMYFUNCTION("""COMPUTED_VALUE"""),0.6)</f>
        <v>0.6</v>
      </c>
      <c r="E270" s="9">
        <f>IFERROR(__xludf.DUMMYFUNCTION("""COMPUTED_VALUE"""),0.8)</f>
        <v>0.8</v>
      </c>
      <c r="F270" s="5" t="str">
        <f>IFERROR(__xludf.DUMMYFUNCTION("""COMPUTED_VALUE"""),"male")</f>
        <v>male</v>
      </c>
      <c r="G270" s="5" t="str">
        <f>IFERROR(__xludf.DUMMYFUNCTION("""COMPUTED_VALUE"""),"25-34 years")</f>
        <v>25-34 years</v>
      </c>
      <c r="H270" s="9">
        <f t="shared" si="6"/>
        <v>0.8</v>
      </c>
      <c r="I270" s="5">
        <f t="shared" si="3"/>
        <v>4</v>
      </c>
      <c r="J270" s="5">
        <f t="shared" si="4"/>
        <v>22250000</v>
      </c>
    </row>
    <row r="271">
      <c r="A271" s="11">
        <v>13.0</v>
      </c>
      <c r="B271" s="5" t="str">
        <f>IFERROR(__xludf.DUMMYFUNCTION("""COMPUTED_VALUE"""),"Chronic lower respiratory diseases (J40-J47)")</f>
        <v>Chronic lower respiratory diseases (J40-J47)</v>
      </c>
      <c r="C271" s="8">
        <f>IFERROR(__xludf.DUMMYFUNCTION("""COMPUTED_VALUE"""),160.0)</f>
        <v>160</v>
      </c>
      <c r="D271" s="5">
        <f>IFERROR(__xludf.DUMMYFUNCTION("""COMPUTED_VALUE"""),0.5)</f>
        <v>0.5</v>
      </c>
      <c r="E271" s="9">
        <f>IFERROR(__xludf.DUMMYFUNCTION("""COMPUTED_VALUE"""),0.7)</f>
        <v>0.7</v>
      </c>
      <c r="F271" s="5" t="str">
        <f>IFERROR(__xludf.DUMMYFUNCTION("""COMPUTED_VALUE"""),"male")</f>
        <v>male</v>
      </c>
      <c r="G271" s="5" t="str">
        <f>IFERROR(__xludf.DUMMYFUNCTION("""COMPUTED_VALUE"""),"25-34 years")</f>
        <v>25-34 years</v>
      </c>
      <c r="H271" s="9">
        <f t="shared" si="6"/>
        <v>0.7</v>
      </c>
      <c r="I271" s="5">
        <f t="shared" si="3"/>
        <v>4</v>
      </c>
      <c r="J271" s="5">
        <f t="shared" si="4"/>
        <v>22857142.86</v>
      </c>
    </row>
    <row r="272">
      <c r="A272" s="11">
        <v>14.0</v>
      </c>
      <c r="B272" s="5" t="str">
        <f>IFERROR(__xludf.DUMMYFUNCTION("""COMPUTED_VALUE"""),"Legal intervention (Y35,Y89.0)")</f>
        <v>Legal intervention (Y35,Y89.0)</v>
      </c>
      <c r="C272" s="8">
        <f>IFERROR(__xludf.DUMMYFUNCTION("""COMPUTED_VALUE"""),141.0)</f>
        <v>141</v>
      </c>
      <c r="D272" s="5">
        <f>IFERROR(__xludf.DUMMYFUNCTION("""COMPUTED_VALUE"""),0.4)</f>
        <v>0.4</v>
      </c>
      <c r="E272" s="9">
        <f>IFERROR(__xludf.DUMMYFUNCTION("""COMPUTED_VALUE"""),0.7)</f>
        <v>0.7</v>
      </c>
      <c r="F272" s="5" t="str">
        <f>IFERROR(__xludf.DUMMYFUNCTION("""COMPUTED_VALUE"""),"male")</f>
        <v>male</v>
      </c>
      <c r="G272" s="5" t="str">
        <f>IFERROR(__xludf.DUMMYFUNCTION("""COMPUTED_VALUE"""),"25-34 years")</f>
        <v>25-34 years</v>
      </c>
      <c r="H272" s="9">
        <f t="shared" si="6"/>
        <v>0.7</v>
      </c>
      <c r="I272" s="5">
        <f t="shared" si="3"/>
        <v>4</v>
      </c>
      <c r="J272" s="5">
        <f t="shared" si="4"/>
        <v>20142857.14</v>
      </c>
    </row>
    <row r="273">
      <c r="A273" s="11">
        <v>15.0</v>
      </c>
      <c r="B273" s="5" t="str">
        <f>IFERROR(__xludf.DUMMYFUNCTION("""COMPUTED_VALUE"""),"Nephritis, nephrotic syndrome and nephrosis (N00-N07,N17-N19,N25-N27)")</f>
        <v>Nephritis, nephrotic syndrome and nephrosis (N00-N07,N17-N19,N25-N27)</v>
      </c>
      <c r="C273" s="8">
        <f>IFERROR(__xludf.DUMMYFUNCTION("""COMPUTED_VALUE"""),140.0)</f>
        <v>140</v>
      </c>
      <c r="D273" s="5">
        <f>IFERROR(__xludf.DUMMYFUNCTION("""COMPUTED_VALUE"""),0.4)</f>
        <v>0.4</v>
      </c>
      <c r="E273" s="9">
        <f>IFERROR(__xludf.DUMMYFUNCTION("""COMPUTED_VALUE"""),0.6)</f>
        <v>0.6</v>
      </c>
      <c r="F273" s="5" t="str">
        <f>IFERROR(__xludf.DUMMYFUNCTION("""COMPUTED_VALUE"""),"male")</f>
        <v>male</v>
      </c>
      <c r="G273" s="5" t="str">
        <f>IFERROR(__xludf.DUMMYFUNCTION("""COMPUTED_VALUE"""),"25-34 years")</f>
        <v>25-34 years</v>
      </c>
      <c r="H273" s="9">
        <f t="shared" si="6"/>
        <v>0.6</v>
      </c>
      <c r="I273" s="5">
        <f t="shared" si="3"/>
        <v>4</v>
      </c>
      <c r="J273" s="5">
        <f t="shared" si="4"/>
        <v>23333333.33</v>
      </c>
    </row>
    <row r="274">
      <c r="A274" s="7" t="s">
        <v>12</v>
      </c>
      <c r="B274" s="5" t="str">
        <f>IFERROR(__xludf.DUMMYFUNCTION("""COMPUTED_VALUE"""),"All other causes (Residual)")</f>
        <v>All other causes (Residual)</v>
      </c>
      <c r="C274" s="8">
        <f>IFERROR(__xludf.DUMMYFUNCTION("""COMPUTED_VALUE"""),4062.0)</f>
        <v>4062</v>
      </c>
      <c r="D274" s="5">
        <f>IFERROR(__xludf.DUMMYFUNCTION("""COMPUTED_VALUE"""),12.9)</f>
        <v>12.9</v>
      </c>
      <c r="E274" s="9">
        <f>IFERROR(__xludf.DUMMYFUNCTION("""COMPUTED_VALUE"""),18.8)</f>
        <v>18.8</v>
      </c>
      <c r="F274" s="5" t="str">
        <f>IFERROR(__xludf.DUMMYFUNCTION("""COMPUTED_VALUE"""),"male")</f>
        <v>male</v>
      </c>
      <c r="G274" s="5" t="str">
        <f>IFERROR(__xludf.DUMMYFUNCTION("""COMPUTED_VALUE"""),"25-34 years")</f>
        <v>25-34 years</v>
      </c>
      <c r="H274" s="9">
        <f t="shared" si="6"/>
        <v>18.8</v>
      </c>
      <c r="I274" s="5">
        <f t="shared" si="3"/>
        <v>4</v>
      </c>
      <c r="J274" s="5">
        <f t="shared" si="4"/>
        <v>21606382.98</v>
      </c>
    </row>
    <row r="275">
      <c r="A275" s="7" t="s">
        <v>12</v>
      </c>
      <c r="B275" s="5" t="str">
        <f>IFERROR(__xludf.DUMMYFUNCTION("""COMPUTED_VALUE"""),"All causes")</f>
        <v>All causes</v>
      </c>
      <c r="C275" s="8">
        <f>IFERROR(__xludf.DUMMYFUNCTION("""COMPUTED_VALUE"""),43072.0)</f>
        <v>43072</v>
      </c>
      <c r="D275" s="5">
        <f>IFERROR(__xludf.DUMMYFUNCTION("""COMPUTED_VALUE"""),100.0)</f>
        <v>100</v>
      </c>
      <c r="E275" s="9">
        <f>IFERROR(__xludf.DUMMYFUNCTION("""COMPUTED_VALUE"""),213.8)</f>
        <v>213.8</v>
      </c>
      <c r="F275" s="5" t="str">
        <f>IFERROR(__xludf.DUMMYFUNCTION("""COMPUTED_VALUE"""),"male")</f>
        <v>male</v>
      </c>
      <c r="G275" s="5" t="str">
        <f>IFERROR(__xludf.DUMMYFUNCTION("""COMPUTED_VALUE"""),"35-44 years")</f>
        <v>35-44 years</v>
      </c>
      <c r="H275" s="9">
        <f t="shared" si="6"/>
        <v>213.8</v>
      </c>
      <c r="I275" s="5">
        <f t="shared" si="3"/>
        <v>5</v>
      </c>
      <c r="J275" s="5">
        <f t="shared" si="4"/>
        <v>20145930.78</v>
      </c>
    </row>
    <row r="276">
      <c r="A276" s="11">
        <v>1.0</v>
      </c>
      <c r="B276" s="5" t="str">
        <f>IFERROR(__xludf.DUMMYFUNCTION("""COMPUTED_VALUE"""),"Accidents (unintentional injuries) (V01-X59,Y85-Y86)")</f>
        <v>Accidents (unintentional injuries) (V01-X59,Y85-Y86)</v>
      </c>
      <c r="C276" s="8">
        <f>IFERROR(__xludf.DUMMYFUNCTION("""COMPUTED_VALUE"""),10566.0)</f>
        <v>10566</v>
      </c>
      <c r="D276" s="5">
        <f>IFERROR(__xludf.DUMMYFUNCTION("""COMPUTED_VALUE"""),24.5)</f>
        <v>24.5</v>
      </c>
      <c r="E276" s="9">
        <f>IFERROR(__xludf.DUMMYFUNCTION("""COMPUTED_VALUE"""),52.4)</f>
        <v>52.4</v>
      </c>
      <c r="F276" s="5" t="str">
        <f>IFERROR(__xludf.DUMMYFUNCTION("""COMPUTED_VALUE"""),"male")</f>
        <v>male</v>
      </c>
      <c r="G276" s="5" t="str">
        <f>IFERROR(__xludf.DUMMYFUNCTION("""COMPUTED_VALUE"""),"35-44 years")</f>
        <v>35-44 years</v>
      </c>
      <c r="H276" s="9">
        <f t="shared" si="6"/>
        <v>52.4</v>
      </c>
      <c r="I276" s="5">
        <f t="shared" si="3"/>
        <v>5</v>
      </c>
      <c r="J276" s="5">
        <f t="shared" si="4"/>
        <v>20164122.14</v>
      </c>
    </row>
    <row r="277">
      <c r="A277" s="11">
        <v>2.0</v>
      </c>
      <c r="B277" s="5" t="str">
        <f>IFERROR(__xludf.DUMMYFUNCTION("""COMPUTED_VALUE"""),"Diseases of heart (I00-I09,I11,I13,I20-I51)")</f>
        <v>Diseases of heart (I00-I09,I11,I13,I20-I51)</v>
      </c>
      <c r="C277" s="8">
        <f>IFERROR(__xludf.DUMMYFUNCTION("""COMPUTED_VALUE"""),7152.0)</f>
        <v>7152</v>
      </c>
      <c r="D277" s="5">
        <f>IFERROR(__xludf.DUMMYFUNCTION("""COMPUTED_VALUE"""),16.6)</f>
        <v>16.6</v>
      </c>
      <c r="E277" s="9">
        <f>IFERROR(__xludf.DUMMYFUNCTION("""COMPUTED_VALUE"""),35.5)</f>
        <v>35.5</v>
      </c>
      <c r="F277" s="5" t="str">
        <f>IFERROR(__xludf.DUMMYFUNCTION("""COMPUTED_VALUE"""),"male")</f>
        <v>male</v>
      </c>
      <c r="G277" s="5" t="str">
        <f>IFERROR(__xludf.DUMMYFUNCTION("""COMPUTED_VALUE"""),"35-44 years")</f>
        <v>35-44 years</v>
      </c>
      <c r="H277" s="9">
        <f t="shared" si="6"/>
        <v>35.5</v>
      </c>
      <c r="I277" s="5">
        <f t="shared" si="3"/>
        <v>5</v>
      </c>
      <c r="J277" s="5">
        <f t="shared" si="4"/>
        <v>20146478.87</v>
      </c>
    </row>
    <row r="278">
      <c r="A278" s="11">
        <v>3.0</v>
      </c>
      <c r="B278" s="5" t="str">
        <f>IFERROR(__xludf.DUMMYFUNCTION("""COMPUTED_VALUE"""),"Intentional self-harm (suicide) (*U03,X60-X84,Y87.0)")</f>
        <v>Intentional self-harm (suicide) (*U03,X60-X84,Y87.0)</v>
      </c>
      <c r="C278" s="8">
        <f>IFERROR(__xludf.DUMMYFUNCTION("""COMPUTED_VALUE"""),5003.0)</f>
        <v>5003</v>
      </c>
      <c r="D278" s="5">
        <f>IFERROR(__xludf.DUMMYFUNCTION("""COMPUTED_VALUE"""),11.6)</f>
        <v>11.6</v>
      </c>
      <c r="E278" s="9">
        <f>IFERROR(__xludf.DUMMYFUNCTION("""COMPUTED_VALUE"""),24.8)</f>
        <v>24.8</v>
      </c>
      <c r="F278" s="5" t="str">
        <f>IFERROR(__xludf.DUMMYFUNCTION("""COMPUTED_VALUE"""),"male")</f>
        <v>male</v>
      </c>
      <c r="G278" s="5" t="str">
        <f>IFERROR(__xludf.DUMMYFUNCTION("""COMPUTED_VALUE"""),"35-44 years")</f>
        <v>35-44 years</v>
      </c>
      <c r="H278" s="9">
        <f t="shared" si="6"/>
        <v>24.8</v>
      </c>
      <c r="I278" s="5">
        <f t="shared" si="3"/>
        <v>5</v>
      </c>
      <c r="J278" s="5">
        <f t="shared" si="4"/>
        <v>20173387.1</v>
      </c>
    </row>
    <row r="279">
      <c r="A279" s="11">
        <v>4.0</v>
      </c>
      <c r="B279" s="5" t="str">
        <f>IFERROR(__xludf.DUMMYFUNCTION("""COMPUTED_VALUE"""),"Malignant neoplasms (C00-C97)")</f>
        <v>Malignant neoplasms (C00-C97)</v>
      </c>
      <c r="C279" s="8">
        <f>IFERROR(__xludf.DUMMYFUNCTION("""COMPUTED_VALUE"""),4827.0)</f>
        <v>4827</v>
      </c>
      <c r="D279" s="5">
        <f>IFERROR(__xludf.DUMMYFUNCTION("""COMPUTED_VALUE"""),11.2)</f>
        <v>11.2</v>
      </c>
      <c r="E279" s="9">
        <f>IFERROR(__xludf.DUMMYFUNCTION("""COMPUTED_VALUE"""),24.0)</f>
        <v>24</v>
      </c>
      <c r="F279" s="5" t="str">
        <f>IFERROR(__xludf.DUMMYFUNCTION("""COMPUTED_VALUE"""),"male")</f>
        <v>male</v>
      </c>
      <c r="G279" s="5" t="str">
        <f>IFERROR(__xludf.DUMMYFUNCTION("""COMPUTED_VALUE"""),"35-44 years")</f>
        <v>35-44 years</v>
      </c>
      <c r="H279" s="9">
        <f t="shared" si="6"/>
        <v>24</v>
      </c>
      <c r="I279" s="5">
        <f t="shared" si="3"/>
        <v>5</v>
      </c>
      <c r="J279" s="5">
        <f t="shared" si="4"/>
        <v>20112500</v>
      </c>
    </row>
    <row r="280">
      <c r="A280" s="11">
        <v>5.0</v>
      </c>
      <c r="B280" s="5" t="str">
        <f>IFERROR(__xludf.DUMMYFUNCTION("""COMPUTED_VALUE"""),"Assault (homicide) (*U01-*U02,X85-Y09,Y87.1)")</f>
        <v>Assault (homicide) (*U01-*U02,X85-Y09,Y87.1)</v>
      </c>
      <c r="C280" s="8">
        <f>IFERROR(__xludf.DUMMYFUNCTION("""COMPUTED_VALUE"""),2025.0)</f>
        <v>2025</v>
      </c>
      <c r="D280" s="5">
        <f>IFERROR(__xludf.DUMMYFUNCTION("""COMPUTED_VALUE"""),4.7)</f>
        <v>4.7</v>
      </c>
      <c r="E280" s="9">
        <f>IFERROR(__xludf.DUMMYFUNCTION("""COMPUTED_VALUE"""),10.1)</f>
        <v>10.1</v>
      </c>
      <c r="F280" s="5" t="str">
        <f>IFERROR(__xludf.DUMMYFUNCTION("""COMPUTED_VALUE"""),"male")</f>
        <v>male</v>
      </c>
      <c r="G280" s="5" t="str">
        <f>IFERROR(__xludf.DUMMYFUNCTION("""COMPUTED_VALUE"""),"35-44 years")</f>
        <v>35-44 years</v>
      </c>
      <c r="H280" s="9">
        <f t="shared" si="6"/>
        <v>10.1</v>
      </c>
      <c r="I280" s="5">
        <f t="shared" si="3"/>
        <v>5</v>
      </c>
      <c r="J280" s="5">
        <f t="shared" si="4"/>
        <v>20049504.95</v>
      </c>
    </row>
    <row r="281">
      <c r="A281" s="11">
        <v>6.0</v>
      </c>
      <c r="B281" s="5" t="str">
        <f>IFERROR(__xludf.DUMMYFUNCTION("""COMPUTED_VALUE"""),"Chronic liver disease and cirrhosis (K70,K73-K74)")</f>
        <v>Chronic liver disease and cirrhosis (K70,K73-K74)</v>
      </c>
      <c r="C281" s="8">
        <f>IFERROR(__xludf.DUMMYFUNCTION("""COMPUTED_VALUE"""),1620.0)</f>
        <v>1620</v>
      </c>
      <c r="D281" s="5">
        <f>IFERROR(__xludf.DUMMYFUNCTION("""COMPUTED_VALUE"""),3.8)</f>
        <v>3.8</v>
      </c>
      <c r="E281" s="9">
        <f>IFERROR(__xludf.DUMMYFUNCTION("""COMPUTED_VALUE"""),8.0)</f>
        <v>8</v>
      </c>
      <c r="F281" s="5" t="str">
        <f>IFERROR(__xludf.DUMMYFUNCTION("""COMPUTED_VALUE"""),"male")</f>
        <v>male</v>
      </c>
      <c r="G281" s="5" t="str">
        <f>IFERROR(__xludf.DUMMYFUNCTION("""COMPUTED_VALUE"""),"35-44 years")</f>
        <v>35-44 years</v>
      </c>
      <c r="H281" s="9">
        <f t="shared" si="6"/>
        <v>8</v>
      </c>
      <c r="I281" s="5">
        <f t="shared" si="3"/>
        <v>5</v>
      </c>
      <c r="J281" s="5">
        <f t="shared" si="4"/>
        <v>20250000</v>
      </c>
    </row>
    <row r="282">
      <c r="A282" s="11">
        <v>7.0</v>
      </c>
      <c r="B282" s="5" t="str">
        <f>IFERROR(__xludf.DUMMYFUNCTION("""COMPUTED_VALUE"""),"Diabetes mellitus (E10-E14)")</f>
        <v>Diabetes mellitus (E10-E14)</v>
      </c>
      <c r="C282" s="8">
        <f>IFERROR(__xludf.DUMMYFUNCTION("""COMPUTED_VALUE"""),1211.0)</f>
        <v>1211</v>
      </c>
      <c r="D282" s="5">
        <f>IFERROR(__xludf.DUMMYFUNCTION("""COMPUTED_VALUE"""),2.8)</f>
        <v>2.8</v>
      </c>
      <c r="E282" s="9">
        <f>IFERROR(__xludf.DUMMYFUNCTION("""COMPUTED_VALUE"""),6.0)</f>
        <v>6</v>
      </c>
      <c r="F282" s="5" t="str">
        <f>IFERROR(__xludf.DUMMYFUNCTION("""COMPUTED_VALUE"""),"male")</f>
        <v>male</v>
      </c>
      <c r="G282" s="5" t="str">
        <f>IFERROR(__xludf.DUMMYFUNCTION("""COMPUTED_VALUE"""),"35-44 years")</f>
        <v>35-44 years</v>
      </c>
      <c r="H282" s="9">
        <f t="shared" si="6"/>
        <v>6</v>
      </c>
      <c r="I282" s="5">
        <f t="shared" si="3"/>
        <v>5</v>
      </c>
      <c r="J282" s="5">
        <f t="shared" si="4"/>
        <v>20183333.33</v>
      </c>
    </row>
    <row r="283">
      <c r="A283" s="11">
        <v>8.0</v>
      </c>
      <c r="B283" s="5" t="str">
        <f>IFERROR(__xludf.DUMMYFUNCTION("""COMPUTED_VALUE"""),"Cerebrovascular diseases (I60-I69)")</f>
        <v>Cerebrovascular diseases (I60-I69)</v>
      </c>
      <c r="C283" s="8">
        <f>IFERROR(__xludf.DUMMYFUNCTION("""COMPUTED_VALUE"""),938.0)</f>
        <v>938</v>
      </c>
      <c r="D283" s="5">
        <f>IFERROR(__xludf.DUMMYFUNCTION("""COMPUTED_VALUE"""),2.2)</f>
        <v>2.2</v>
      </c>
      <c r="E283" s="9">
        <f>IFERROR(__xludf.DUMMYFUNCTION("""COMPUTED_VALUE"""),4.7)</f>
        <v>4.7</v>
      </c>
      <c r="F283" s="5" t="str">
        <f>IFERROR(__xludf.DUMMYFUNCTION("""COMPUTED_VALUE"""),"male")</f>
        <v>male</v>
      </c>
      <c r="G283" s="5" t="str">
        <f>IFERROR(__xludf.DUMMYFUNCTION("""COMPUTED_VALUE"""),"35-44 years")</f>
        <v>35-44 years</v>
      </c>
      <c r="H283" s="9">
        <f t="shared" si="6"/>
        <v>4.7</v>
      </c>
      <c r="I283" s="5">
        <f t="shared" si="3"/>
        <v>5</v>
      </c>
      <c r="J283" s="5">
        <f t="shared" si="4"/>
        <v>19957446.81</v>
      </c>
    </row>
    <row r="284">
      <c r="A284" s="11">
        <v>9.0</v>
      </c>
      <c r="B284" s="5" t="str">
        <f>IFERROR(__xludf.DUMMYFUNCTION("""COMPUTED_VALUE"""),"Human immunodeficiency virus (HIV) disease (B20-B24)")</f>
        <v>Human immunodeficiency virus (HIV) disease (B20-B24)</v>
      </c>
      <c r="C284" s="8">
        <f>IFERROR(__xludf.DUMMYFUNCTION("""COMPUTED_VALUE"""),842.0)</f>
        <v>842</v>
      </c>
      <c r="D284" s="5">
        <f>IFERROR(__xludf.DUMMYFUNCTION("""COMPUTED_VALUE"""),2.0)</f>
        <v>2</v>
      </c>
      <c r="E284" s="9">
        <f>IFERROR(__xludf.DUMMYFUNCTION("""COMPUTED_VALUE"""),4.2)</f>
        <v>4.2</v>
      </c>
      <c r="F284" s="5" t="str">
        <f>IFERROR(__xludf.DUMMYFUNCTION("""COMPUTED_VALUE"""),"male")</f>
        <v>male</v>
      </c>
      <c r="G284" s="5" t="str">
        <f>IFERROR(__xludf.DUMMYFUNCTION("""COMPUTED_VALUE"""),"35-44 years")</f>
        <v>35-44 years</v>
      </c>
      <c r="H284" s="9">
        <f t="shared" si="6"/>
        <v>4.2</v>
      </c>
      <c r="I284" s="5">
        <f t="shared" si="3"/>
        <v>5</v>
      </c>
      <c r="J284" s="5">
        <f t="shared" si="4"/>
        <v>20047619.05</v>
      </c>
    </row>
    <row r="285">
      <c r="A285" s="11">
        <v>10.0</v>
      </c>
      <c r="B285" s="5" t="str">
        <f>IFERROR(__xludf.DUMMYFUNCTION("""COMPUTED_VALUE"""),"Influenza and pneumonia (J09-J18)")</f>
        <v>Influenza and pneumonia (J09-J18)</v>
      </c>
      <c r="C285" s="8">
        <f>IFERROR(__xludf.DUMMYFUNCTION("""COMPUTED_VALUE"""),464.0)</f>
        <v>464</v>
      </c>
      <c r="D285" s="5">
        <f>IFERROR(__xludf.DUMMYFUNCTION("""COMPUTED_VALUE"""),1.1)</f>
        <v>1.1</v>
      </c>
      <c r="E285" s="9">
        <f>IFERROR(__xludf.DUMMYFUNCTION("""COMPUTED_VALUE"""),2.3)</f>
        <v>2.3</v>
      </c>
      <c r="F285" s="5" t="str">
        <f>IFERROR(__xludf.DUMMYFUNCTION("""COMPUTED_VALUE"""),"male")</f>
        <v>male</v>
      </c>
      <c r="G285" s="5" t="str">
        <f>IFERROR(__xludf.DUMMYFUNCTION("""COMPUTED_VALUE"""),"35-44 years")</f>
        <v>35-44 years</v>
      </c>
      <c r="H285" s="9">
        <f t="shared" si="6"/>
        <v>2.3</v>
      </c>
      <c r="I285" s="5">
        <f t="shared" si="3"/>
        <v>5</v>
      </c>
      <c r="J285" s="5">
        <f t="shared" si="4"/>
        <v>20173913.04</v>
      </c>
    </row>
    <row r="286">
      <c r="A286" s="11">
        <v>11.0</v>
      </c>
      <c r="B286" s="5" t="str">
        <f>IFERROR(__xludf.DUMMYFUNCTION("""COMPUTED_VALUE"""),"Septicemia (A40-A41)")</f>
        <v>Septicemia (A40-A41)</v>
      </c>
      <c r="C286" s="8">
        <f>IFERROR(__xludf.DUMMYFUNCTION("""COMPUTED_VALUE"""),397.0)</f>
        <v>397</v>
      </c>
      <c r="D286" s="5">
        <f>IFERROR(__xludf.DUMMYFUNCTION("""COMPUTED_VALUE"""),0.9)</f>
        <v>0.9</v>
      </c>
      <c r="E286" s="9">
        <f>IFERROR(__xludf.DUMMYFUNCTION("""COMPUTED_VALUE"""),2.0)</f>
        <v>2</v>
      </c>
      <c r="F286" s="5" t="str">
        <f>IFERROR(__xludf.DUMMYFUNCTION("""COMPUTED_VALUE"""),"male")</f>
        <v>male</v>
      </c>
      <c r="G286" s="5" t="str">
        <f>IFERROR(__xludf.DUMMYFUNCTION("""COMPUTED_VALUE"""),"35-44 years")</f>
        <v>35-44 years</v>
      </c>
      <c r="H286" s="9">
        <f t="shared" si="6"/>
        <v>2</v>
      </c>
      <c r="I286" s="5">
        <f t="shared" si="3"/>
        <v>5</v>
      </c>
      <c r="J286" s="5">
        <f t="shared" si="4"/>
        <v>19850000</v>
      </c>
    </row>
    <row r="287">
      <c r="A287" s="11">
        <v>12.0</v>
      </c>
      <c r="B287" s="5" t="str">
        <f>IFERROR(__xludf.DUMMYFUNCTION("""COMPUTED_VALUE"""),"Chronic lower respiratory diseases (J40-J47)")</f>
        <v>Chronic lower respiratory diseases (J40-J47)</v>
      </c>
      <c r="C287" s="8">
        <f>IFERROR(__xludf.DUMMYFUNCTION("""COMPUTED_VALUE"""),365.0)</f>
        <v>365</v>
      </c>
      <c r="D287" s="5">
        <f>IFERROR(__xludf.DUMMYFUNCTION("""COMPUTED_VALUE"""),0.8)</f>
        <v>0.8</v>
      </c>
      <c r="E287" s="9">
        <f>IFERROR(__xludf.DUMMYFUNCTION("""COMPUTED_VALUE"""),1.8)</f>
        <v>1.8</v>
      </c>
      <c r="F287" s="5" t="str">
        <f>IFERROR(__xludf.DUMMYFUNCTION("""COMPUTED_VALUE"""),"male")</f>
        <v>male</v>
      </c>
      <c r="G287" s="5" t="str">
        <f>IFERROR(__xludf.DUMMYFUNCTION("""COMPUTED_VALUE"""),"35-44 years")</f>
        <v>35-44 years</v>
      </c>
      <c r="H287" s="9">
        <f t="shared" si="6"/>
        <v>1.8</v>
      </c>
      <c r="I287" s="5">
        <f t="shared" si="3"/>
        <v>5</v>
      </c>
      <c r="J287" s="5">
        <f t="shared" si="4"/>
        <v>20277777.78</v>
      </c>
    </row>
    <row r="288">
      <c r="A288" s="11">
        <v>13.0</v>
      </c>
      <c r="B288" s="5" t="str">
        <f>IFERROR(__xludf.DUMMYFUNCTION("""COMPUTED_VALUE"""),"Nephritis, nephrotic syndrome and nephrosis (N00-N07,N17-N19,N25-N27)")</f>
        <v>Nephritis, nephrotic syndrome and nephrosis (N00-N07,N17-N19,N25-N27)</v>
      </c>
      <c r="C288" s="8">
        <f>IFERROR(__xludf.DUMMYFUNCTION("""COMPUTED_VALUE"""),342.0)</f>
        <v>342</v>
      </c>
      <c r="D288" s="5">
        <f>IFERROR(__xludf.DUMMYFUNCTION("""COMPUTED_VALUE"""),0.8)</f>
        <v>0.8</v>
      </c>
      <c r="E288" s="9">
        <f>IFERROR(__xludf.DUMMYFUNCTION("""COMPUTED_VALUE"""),1.7)</f>
        <v>1.7</v>
      </c>
      <c r="F288" s="5" t="str">
        <f>IFERROR(__xludf.DUMMYFUNCTION("""COMPUTED_VALUE"""),"male")</f>
        <v>male</v>
      </c>
      <c r="G288" s="5" t="str">
        <f>IFERROR(__xludf.DUMMYFUNCTION("""COMPUTED_VALUE"""),"35-44 years")</f>
        <v>35-44 years</v>
      </c>
      <c r="H288" s="9">
        <f t="shared" si="6"/>
        <v>1.7</v>
      </c>
      <c r="I288" s="5">
        <f t="shared" si="3"/>
        <v>5</v>
      </c>
      <c r="J288" s="5">
        <f t="shared" si="4"/>
        <v>20117647.06</v>
      </c>
    </row>
    <row r="289">
      <c r="A289" s="11">
        <v>14.0</v>
      </c>
      <c r="B289" s="5" t="str">
        <f>IFERROR(__xludf.DUMMYFUNCTION("""COMPUTED_VALUE"""),"Essential hypertension and hypertensive renal disease (I10,I12,I15)")</f>
        <v>Essential hypertension and hypertensive renal disease (I10,I12,I15)</v>
      </c>
      <c r="C289" s="8">
        <f>IFERROR(__xludf.DUMMYFUNCTION("""COMPUTED_VALUE"""),264.0)</f>
        <v>264</v>
      </c>
      <c r="D289" s="5">
        <f>IFERROR(__xludf.DUMMYFUNCTION("""COMPUTED_VALUE"""),0.6)</f>
        <v>0.6</v>
      </c>
      <c r="E289" s="9">
        <f>IFERROR(__xludf.DUMMYFUNCTION("""COMPUTED_VALUE"""),1.3)</f>
        <v>1.3</v>
      </c>
      <c r="F289" s="5" t="str">
        <f>IFERROR(__xludf.DUMMYFUNCTION("""COMPUTED_VALUE"""),"male")</f>
        <v>male</v>
      </c>
      <c r="G289" s="5" t="str">
        <f>IFERROR(__xludf.DUMMYFUNCTION("""COMPUTED_VALUE"""),"35-44 years")</f>
        <v>35-44 years</v>
      </c>
      <c r="H289" s="9">
        <f t="shared" si="6"/>
        <v>1.3</v>
      </c>
      <c r="I289" s="5">
        <f t="shared" si="3"/>
        <v>5</v>
      </c>
      <c r="J289" s="5">
        <f t="shared" si="4"/>
        <v>20307692.31</v>
      </c>
    </row>
    <row r="290">
      <c r="A290" s="11">
        <v>15.0</v>
      </c>
      <c r="B290" s="5" t="str">
        <f>IFERROR(__xludf.DUMMYFUNCTION("""COMPUTED_VALUE"""),"Congenital malformations, deformations and chromosomal abnormalities (Q00-Q99)")</f>
        <v>Congenital malformations, deformations and chromosomal abnormalities (Q00-Q99)</v>
      </c>
      <c r="C290" s="8">
        <f>IFERROR(__xludf.DUMMYFUNCTION("""COMPUTED_VALUE"""),251.0)</f>
        <v>251</v>
      </c>
      <c r="D290" s="5">
        <f>IFERROR(__xludf.DUMMYFUNCTION("""COMPUTED_VALUE"""),0.6)</f>
        <v>0.6</v>
      </c>
      <c r="E290" s="9">
        <f>IFERROR(__xludf.DUMMYFUNCTION("""COMPUTED_VALUE"""),1.2)</f>
        <v>1.2</v>
      </c>
      <c r="F290" s="5" t="str">
        <f>IFERROR(__xludf.DUMMYFUNCTION("""COMPUTED_VALUE"""),"male")</f>
        <v>male</v>
      </c>
      <c r="G290" s="5" t="str">
        <f>IFERROR(__xludf.DUMMYFUNCTION("""COMPUTED_VALUE"""),"35-44 years")</f>
        <v>35-44 years</v>
      </c>
      <c r="H290" s="9">
        <f t="shared" si="6"/>
        <v>1.2</v>
      </c>
      <c r="I290" s="5">
        <f t="shared" si="3"/>
        <v>5</v>
      </c>
      <c r="J290" s="5">
        <f t="shared" si="4"/>
        <v>20916666.67</v>
      </c>
    </row>
    <row r="291">
      <c r="A291" s="7" t="s">
        <v>12</v>
      </c>
      <c r="B291" s="5" t="str">
        <f>IFERROR(__xludf.DUMMYFUNCTION("""COMPUTED_VALUE"""),"All other causes (Residual)")</f>
        <v>All other causes (Residual)</v>
      </c>
      <c r="C291" s="8">
        <f>IFERROR(__xludf.DUMMYFUNCTION("""COMPUTED_VALUE"""),6805.0)</f>
        <v>6805</v>
      </c>
      <c r="D291" s="5">
        <f>IFERROR(__xludf.DUMMYFUNCTION("""COMPUTED_VALUE"""),15.8)</f>
        <v>15.8</v>
      </c>
      <c r="E291" s="9">
        <f>IFERROR(__xludf.DUMMYFUNCTION("""COMPUTED_VALUE"""),33.8)</f>
        <v>33.8</v>
      </c>
      <c r="F291" s="5" t="str">
        <f>IFERROR(__xludf.DUMMYFUNCTION("""COMPUTED_VALUE"""),"male")</f>
        <v>male</v>
      </c>
      <c r="G291" s="5" t="str">
        <f>IFERROR(__xludf.DUMMYFUNCTION("""COMPUTED_VALUE"""),"35-44 years")</f>
        <v>35-44 years</v>
      </c>
      <c r="H291" s="9">
        <f t="shared" si="6"/>
        <v>33.8</v>
      </c>
      <c r="I291" s="5">
        <f t="shared" si="3"/>
        <v>5</v>
      </c>
      <c r="J291" s="5">
        <f t="shared" si="4"/>
        <v>20133136.09</v>
      </c>
    </row>
    <row r="292">
      <c r="A292" s="7" t="s">
        <v>12</v>
      </c>
      <c r="B292" s="5" t="str">
        <f>IFERROR(__xludf.DUMMYFUNCTION("""COMPUTED_VALUE"""),"All causes")</f>
        <v>All causes</v>
      </c>
      <c r="C292" s="8">
        <f>IFERROR(__xludf.DUMMYFUNCTION("""COMPUTED_VALUE"""),107997.0)</f>
        <v>107997</v>
      </c>
      <c r="D292" s="5">
        <f>IFERROR(__xludf.DUMMYFUNCTION("""COMPUTED_VALUE"""),100.0)</f>
        <v>100</v>
      </c>
      <c r="E292" s="9">
        <f>IFERROR(__xludf.DUMMYFUNCTION("""COMPUTED_VALUE"""),500.7)</f>
        <v>500.7</v>
      </c>
      <c r="F292" s="5" t="str">
        <f>IFERROR(__xludf.DUMMYFUNCTION("""COMPUTED_VALUE"""),"male")</f>
        <v>male</v>
      </c>
      <c r="G292" s="5" t="str">
        <f>IFERROR(__xludf.DUMMYFUNCTION("""COMPUTED_VALUE"""),"45-54 years")</f>
        <v>45-54 years</v>
      </c>
      <c r="H292" s="9">
        <f t="shared" si="6"/>
        <v>500.7</v>
      </c>
      <c r="I292" s="5">
        <f t="shared" si="3"/>
        <v>6</v>
      </c>
      <c r="J292" s="5">
        <f t="shared" si="4"/>
        <v>21569203.12</v>
      </c>
    </row>
    <row r="293">
      <c r="A293" s="11">
        <v>1.0</v>
      </c>
      <c r="B293" s="5" t="str">
        <f>IFERROR(__xludf.DUMMYFUNCTION("""COMPUTED_VALUE"""),"Diseases of heart (I00-I09,I11,I13,I20-I51)")</f>
        <v>Diseases of heart (I00-I09,I11,I13,I20-I51)</v>
      </c>
      <c r="C293" s="8">
        <f>IFERROR(__xludf.DUMMYFUNCTION("""COMPUTED_VALUE"""),24830.0)</f>
        <v>24830</v>
      </c>
      <c r="D293" s="5">
        <f>IFERROR(__xludf.DUMMYFUNCTION("""COMPUTED_VALUE"""),23.0)</f>
        <v>23</v>
      </c>
      <c r="E293" s="9">
        <f>IFERROR(__xludf.DUMMYFUNCTION("""COMPUTED_VALUE"""),115.1)</f>
        <v>115.1</v>
      </c>
      <c r="F293" s="5" t="str">
        <f>IFERROR(__xludf.DUMMYFUNCTION("""COMPUTED_VALUE"""),"male")</f>
        <v>male</v>
      </c>
      <c r="G293" s="5" t="str">
        <f>IFERROR(__xludf.DUMMYFUNCTION("""COMPUTED_VALUE"""),"45-54 years")</f>
        <v>45-54 years</v>
      </c>
      <c r="H293" s="9">
        <f t="shared" si="6"/>
        <v>115.1</v>
      </c>
      <c r="I293" s="5">
        <f t="shared" si="3"/>
        <v>6</v>
      </c>
      <c r="J293" s="5">
        <f t="shared" si="4"/>
        <v>21572545.61</v>
      </c>
    </row>
    <row r="294">
      <c r="A294" s="11">
        <v>2.0</v>
      </c>
      <c r="B294" s="5" t="str">
        <f>IFERROR(__xludf.DUMMYFUNCTION("""COMPUTED_VALUE"""),"Malignant neoplasms (C00-C97)")</f>
        <v>Malignant neoplasms (C00-C97)</v>
      </c>
      <c r="C294" s="8">
        <f>IFERROR(__xludf.DUMMYFUNCTION("""COMPUTED_VALUE"""),22966.0)</f>
        <v>22966</v>
      </c>
      <c r="D294" s="5">
        <f>IFERROR(__xludf.DUMMYFUNCTION("""COMPUTED_VALUE"""),21.3)</f>
        <v>21.3</v>
      </c>
      <c r="E294" s="9">
        <f>IFERROR(__xludf.DUMMYFUNCTION("""COMPUTED_VALUE"""),106.5)</f>
        <v>106.5</v>
      </c>
      <c r="F294" s="5" t="str">
        <f>IFERROR(__xludf.DUMMYFUNCTION("""COMPUTED_VALUE"""),"male")</f>
        <v>male</v>
      </c>
      <c r="G294" s="5" t="str">
        <f>IFERROR(__xludf.DUMMYFUNCTION("""COMPUTED_VALUE"""),"45-54 years")</f>
        <v>45-54 years</v>
      </c>
      <c r="H294" s="9">
        <f t="shared" si="6"/>
        <v>106.5</v>
      </c>
      <c r="I294" s="5">
        <f t="shared" si="3"/>
        <v>6</v>
      </c>
      <c r="J294" s="5">
        <f t="shared" si="4"/>
        <v>21564319.25</v>
      </c>
    </row>
    <row r="295">
      <c r="A295" s="11">
        <v>3.0</v>
      </c>
      <c r="B295" s="5" t="str">
        <f>IFERROR(__xludf.DUMMYFUNCTION("""COMPUTED_VALUE"""),"Accidents (unintentional injuries) (V01-X59,Y85-Y86)")</f>
        <v>Accidents (unintentional injuries) (V01-X59,Y85-Y86)</v>
      </c>
      <c r="C295" s="8">
        <f>IFERROR(__xludf.DUMMYFUNCTION("""COMPUTED_VALUE"""),13591.0)</f>
        <v>13591</v>
      </c>
      <c r="D295" s="5">
        <f>IFERROR(__xludf.DUMMYFUNCTION("""COMPUTED_VALUE"""),12.6)</f>
        <v>12.6</v>
      </c>
      <c r="E295" s="9">
        <f>IFERROR(__xludf.DUMMYFUNCTION("""COMPUTED_VALUE"""),63.0)</f>
        <v>63</v>
      </c>
      <c r="F295" s="5" t="str">
        <f>IFERROR(__xludf.DUMMYFUNCTION("""COMPUTED_VALUE"""),"male")</f>
        <v>male</v>
      </c>
      <c r="G295" s="5" t="str">
        <f>IFERROR(__xludf.DUMMYFUNCTION("""COMPUTED_VALUE"""),"45-54 years")</f>
        <v>45-54 years</v>
      </c>
      <c r="H295" s="9">
        <f t="shared" si="6"/>
        <v>63</v>
      </c>
      <c r="I295" s="5">
        <f t="shared" si="3"/>
        <v>6</v>
      </c>
      <c r="J295" s="5">
        <f t="shared" si="4"/>
        <v>21573015.87</v>
      </c>
    </row>
    <row r="296">
      <c r="A296" s="11">
        <v>4.0</v>
      </c>
      <c r="B296" s="5" t="str">
        <f>IFERROR(__xludf.DUMMYFUNCTION("""COMPUTED_VALUE"""),"Intentional self-harm (suicide) (*U03,X60-X84,Y87.0)")</f>
        <v>Intentional self-harm (suicide) (*U03,X60-X84,Y87.0)</v>
      </c>
      <c r="C296" s="8">
        <f>IFERROR(__xludf.DUMMYFUNCTION("""COMPUTED_VALUE"""),6393.0)</f>
        <v>6393</v>
      </c>
      <c r="D296" s="5">
        <f>IFERROR(__xludf.DUMMYFUNCTION("""COMPUTED_VALUE"""),5.9)</f>
        <v>5.9</v>
      </c>
      <c r="E296" s="9">
        <f>IFERROR(__xludf.DUMMYFUNCTION("""COMPUTED_VALUE"""),29.6)</f>
        <v>29.6</v>
      </c>
      <c r="F296" s="5" t="str">
        <f>IFERROR(__xludf.DUMMYFUNCTION("""COMPUTED_VALUE"""),"male")</f>
        <v>male</v>
      </c>
      <c r="G296" s="5" t="str">
        <f>IFERROR(__xludf.DUMMYFUNCTION("""COMPUTED_VALUE"""),"45-54 years")</f>
        <v>45-54 years</v>
      </c>
      <c r="H296" s="9">
        <f t="shared" si="6"/>
        <v>29.6</v>
      </c>
      <c r="I296" s="5">
        <f t="shared" si="3"/>
        <v>6</v>
      </c>
      <c r="J296" s="5">
        <f t="shared" si="4"/>
        <v>21597972.97</v>
      </c>
    </row>
    <row r="297">
      <c r="A297" s="11">
        <v>5.0</v>
      </c>
      <c r="B297" s="5" t="str">
        <f>IFERROR(__xludf.DUMMYFUNCTION("""COMPUTED_VALUE"""),"Chronic liver disease and cirrhosis (K70,K73-K74)")</f>
        <v>Chronic liver disease and cirrhosis (K70,K73-K74)</v>
      </c>
      <c r="C297" s="8">
        <f>IFERROR(__xludf.DUMMYFUNCTION("""COMPUTED_VALUE"""),5858.0)</f>
        <v>5858</v>
      </c>
      <c r="D297" s="5">
        <f>IFERROR(__xludf.DUMMYFUNCTION("""COMPUTED_VALUE"""),5.4)</f>
        <v>5.4</v>
      </c>
      <c r="E297" s="9">
        <f>IFERROR(__xludf.DUMMYFUNCTION("""COMPUTED_VALUE"""),27.2)</f>
        <v>27.2</v>
      </c>
      <c r="F297" s="5" t="str">
        <f>IFERROR(__xludf.DUMMYFUNCTION("""COMPUTED_VALUE"""),"male")</f>
        <v>male</v>
      </c>
      <c r="G297" s="5" t="str">
        <f>IFERROR(__xludf.DUMMYFUNCTION("""COMPUTED_VALUE"""),"45-54 years")</f>
        <v>45-54 years</v>
      </c>
      <c r="H297" s="9">
        <f t="shared" si="6"/>
        <v>27.2</v>
      </c>
      <c r="I297" s="5">
        <f t="shared" si="3"/>
        <v>6</v>
      </c>
      <c r="J297" s="5">
        <f t="shared" si="4"/>
        <v>21536764.71</v>
      </c>
    </row>
    <row r="298">
      <c r="A298" s="11">
        <v>6.0</v>
      </c>
      <c r="B298" s="5" t="str">
        <f>IFERROR(__xludf.DUMMYFUNCTION("""COMPUTED_VALUE"""),"Diabetes mellitus (E10-E14)")</f>
        <v>Diabetes mellitus (E10-E14)</v>
      </c>
      <c r="C298" s="8">
        <f>IFERROR(__xludf.DUMMYFUNCTION("""COMPUTED_VALUE"""),3633.0)</f>
        <v>3633</v>
      </c>
      <c r="D298" s="5">
        <f>IFERROR(__xludf.DUMMYFUNCTION("""COMPUTED_VALUE"""),3.4)</f>
        <v>3.4</v>
      </c>
      <c r="E298" s="9">
        <f>IFERROR(__xludf.DUMMYFUNCTION("""COMPUTED_VALUE"""),16.8)</f>
        <v>16.8</v>
      </c>
      <c r="F298" s="5" t="str">
        <f>IFERROR(__xludf.DUMMYFUNCTION("""COMPUTED_VALUE"""),"male")</f>
        <v>male</v>
      </c>
      <c r="G298" s="5" t="str">
        <f>IFERROR(__xludf.DUMMYFUNCTION("""COMPUTED_VALUE"""),"45-54 years")</f>
        <v>45-54 years</v>
      </c>
      <c r="H298" s="9">
        <f t="shared" si="6"/>
        <v>16.8</v>
      </c>
      <c r="I298" s="5">
        <f t="shared" si="3"/>
        <v>6</v>
      </c>
      <c r="J298" s="5">
        <f t="shared" si="4"/>
        <v>21625000</v>
      </c>
    </row>
    <row r="299">
      <c r="A299" s="11">
        <v>7.0</v>
      </c>
      <c r="B299" s="5" t="str">
        <f>IFERROR(__xludf.DUMMYFUNCTION("""COMPUTED_VALUE"""),"Cerebrovascular diseases (I60-I69)")</f>
        <v>Cerebrovascular diseases (I60-I69)</v>
      </c>
      <c r="C299" s="8">
        <f>IFERROR(__xludf.DUMMYFUNCTION("""COMPUTED_VALUE"""),3067.0)</f>
        <v>3067</v>
      </c>
      <c r="D299" s="5">
        <f>IFERROR(__xludf.DUMMYFUNCTION("""COMPUTED_VALUE"""),2.8)</f>
        <v>2.8</v>
      </c>
      <c r="E299" s="9">
        <f>IFERROR(__xludf.DUMMYFUNCTION("""COMPUTED_VALUE"""),14.2)</f>
        <v>14.2</v>
      </c>
      <c r="F299" s="5" t="str">
        <f>IFERROR(__xludf.DUMMYFUNCTION("""COMPUTED_VALUE"""),"male")</f>
        <v>male</v>
      </c>
      <c r="G299" s="5" t="str">
        <f>IFERROR(__xludf.DUMMYFUNCTION("""COMPUTED_VALUE"""),"45-54 years")</f>
        <v>45-54 years</v>
      </c>
      <c r="H299" s="9">
        <f t="shared" si="6"/>
        <v>14.2</v>
      </c>
      <c r="I299" s="5">
        <f t="shared" si="3"/>
        <v>6</v>
      </c>
      <c r="J299" s="5">
        <f t="shared" si="4"/>
        <v>21598591.55</v>
      </c>
    </row>
    <row r="300">
      <c r="A300" s="11">
        <v>8.0</v>
      </c>
      <c r="B300" s="5" t="str">
        <f>IFERROR(__xludf.DUMMYFUNCTION("""COMPUTED_VALUE"""),"Chronic lower respiratory diseases (J40-J47)")</f>
        <v>Chronic lower respiratory diseases (J40-J47)</v>
      </c>
      <c r="C300" s="8">
        <f>IFERROR(__xludf.DUMMYFUNCTION("""COMPUTED_VALUE"""),2142.0)</f>
        <v>2142</v>
      </c>
      <c r="D300" s="5">
        <f>IFERROR(__xludf.DUMMYFUNCTION("""COMPUTED_VALUE"""),2.0)</f>
        <v>2</v>
      </c>
      <c r="E300" s="9">
        <f>IFERROR(__xludf.DUMMYFUNCTION("""COMPUTED_VALUE"""),9.9)</f>
        <v>9.9</v>
      </c>
      <c r="F300" s="5" t="str">
        <f>IFERROR(__xludf.DUMMYFUNCTION("""COMPUTED_VALUE"""),"male")</f>
        <v>male</v>
      </c>
      <c r="G300" s="5" t="str">
        <f>IFERROR(__xludf.DUMMYFUNCTION("""COMPUTED_VALUE"""),"45-54 years")</f>
        <v>45-54 years</v>
      </c>
      <c r="H300" s="9">
        <f t="shared" si="6"/>
        <v>9.9</v>
      </c>
      <c r="I300" s="5">
        <f t="shared" si="3"/>
        <v>6</v>
      </c>
      <c r="J300" s="5">
        <f t="shared" si="4"/>
        <v>21636363.64</v>
      </c>
    </row>
    <row r="301">
      <c r="A301" s="11">
        <v>9.0</v>
      </c>
      <c r="B301" s="5" t="str">
        <f>IFERROR(__xludf.DUMMYFUNCTION("""COMPUTED_VALUE"""),"Human immunodeficiency virus (HIV) disease (B20-B24)")</f>
        <v>Human immunodeficiency virus (HIV) disease (B20-B24)</v>
      </c>
      <c r="C301" s="8">
        <f>IFERROR(__xludf.DUMMYFUNCTION("""COMPUTED_VALUE"""),1760.0)</f>
        <v>1760</v>
      </c>
      <c r="D301" s="5">
        <f>IFERROR(__xludf.DUMMYFUNCTION("""COMPUTED_VALUE"""),1.6)</f>
        <v>1.6</v>
      </c>
      <c r="E301" s="9">
        <f>IFERROR(__xludf.DUMMYFUNCTION("""COMPUTED_VALUE"""),8.2)</f>
        <v>8.2</v>
      </c>
      <c r="F301" s="5" t="str">
        <f>IFERROR(__xludf.DUMMYFUNCTION("""COMPUTED_VALUE"""),"male")</f>
        <v>male</v>
      </c>
      <c r="G301" s="5" t="str">
        <f>IFERROR(__xludf.DUMMYFUNCTION("""COMPUTED_VALUE"""),"45-54 years")</f>
        <v>45-54 years</v>
      </c>
      <c r="H301" s="9">
        <f t="shared" si="6"/>
        <v>8.2</v>
      </c>
      <c r="I301" s="5">
        <f t="shared" si="3"/>
        <v>6</v>
      </c>
      <c r="J301" s="5">
        <f t="shared" si="4"/>
        <v>21463414.63</v>
      </c>
    </row>
    <row r="302">
      <c r="A302" s="11">
        <v>10.0</v>
      </c>
      <c r="B302" s="5" t="str">
        <f>IFERROR(__xludf.DUMMYFUNCTION("""COMPUTED_VALUE"""),"Assault (homicide) (*U01-*U02,X85-Y09,Y87.1)")</f>
        <v>Assault (homicide) (*U01-*U02,X85-Y09,Y87.1)</v>
      </c>
      <c r="C302" s="8">
        <f>IFERROR(__xludf.DUMMYFUNCTION("""COMPUTED_VALUE"""),1479.0)</f>
        <v>1479</v>
      </c>
      <c r="D302" s="5">
        <f>IFERROR(__xludf.DUMMYFUNCTION("""COMPUTED_VALUE"""),1.4)</f>
        <v>1.4</v>
      </c>
      <c r="E302" s="9">
        <f>IFERROR(__xludf.DUMMYFUNCTION("""COMPUTED_VALUE"""),6.9)</f>
        <v>6.9</v>
      </c>
      <c r="F302" s="5" t="str">
        <f>IFERROR(__xludf.DUMMYFUNCTION("""COMPUTED_VALUE"""),"male")</f>
        <v>male</v>
      </c>
      <c r="G302" s="5" t="str">
        <f>IFERROR(__xludf.DUMMYFUNCTION("""COMPUTED_VALUE"""),"45-54 years")</f>
        <v>45-54 years</v>
      </c>
      <c r="H302" s="9">
        <f t="shared" si="6"/>
        <v>6.9</v>
      </c>
      <c r="I302" s="5">
        <f t="shared" si="3"/>
        <v>6</v>
      </c>
      <c r="J302" s="5">
        <f t="shared" si="4"/>
        <v>21434782.61</v>
      </c>
    </row>
    <row r="303">
      <c r="A303" s="11">
        <v>11.0</v>
      </c>
      <c r="B303" s="5" t="str">
        <f>IFERROR(__xludf.DUMMYFUNCTION("""COMPUTED_VALUE"""),"Viral hepatitis (B15-B19)")</f>
        <v>Viral hepatitis (B15-B19)</v>
      </c>
      <c r="C303" s="8">
        <f>IFERROR(__xludf.DUMMYFUNCTION("""COMPUTED_VALUE"""),1328.0)</f>
        <v>1328</v>
      </c>
      <c r="D303" s="5">
        <f>IFERROR(__xludf.DUMMYFUNCTION("""COMPUTED_VALUE"""),1.2)</f>
        <v>1.2</v>
      </c>
      <c r="E303" s="9">
        <f>IFERROR(__xludf.DUMMYFUNCTION("""COMPUTED_VALUE"""),6.2)</f>
        <v>6.2</v>
      </c>
      <c r="F303" s="5" t="str">
        <f>IFERROR(__xludf.DUMMYFUNCTION("""COMPUTED_VALUE"""),"male")</f>
        <v>male</v>
      </c>
      <c r="G303" s="5" t="str">
        <f>IFERROR(__xludf.DUMMYFUNCTION("""COMPUTED_VALUE"""),"45-54 years")</f>
        <v>45-54 years</v>
      </c>
      <c r="H303" s="9">
        <f t="shared" si="6"/>
        <v>6.2</v>
      </c>
      <c r="I303" s="5">
        <f t="shared" si="3"/>
        <v>6</v>
      </c>
      <c r="J303" s="5">
        <f t="shared" si="4"/>
        <v>21419354.84</v>
      </c>
    </row>
    <row r="304">
      <c r="A304" s="11">
        <v>12.0</v>
      </c>
      <c r="B304" s="5" t="str">
        <f>IFERROR(__xludf.DUMMYFUNCTION("""COMPUTED_VALUE"""),"Septicemia (A40-A41)")</f>
        <v>Septicemia (A40-A41)</v>
      </c>
      <c r="C304" s="8">
        <f>IFERROR(__xludf.DUMMYFUNCTION("""COMPUTED_VALUE"""),1304.0)</f>
        <v>1304</v>
      </c>
      <c r="D304" s="5">
        <f>IFERROR(__xludf.DUMMYFUNCTION("""COMPUTED_VALUE"""),1.2)</f>
        <v>1.2</v>
      </c>
      <c r="E304" s="9">
        <f>IFERROR(__xludf.DUMMYFUNCTION("""COMPUTED_VALUE"""),6.0)</f>
        <v>6</v>
      </c>
      <c r="F304" s="5" t="str">
        <f>IFERROR(__xludf.DUMMYFUNCTION("""COMPUTED_VALUE"""),"male")</f>
        <v>male</v>
      </c>
      <c r="G304" s="5" t="str">
        <f>IFERROR(__xludf.DUMMYFUNCTION("""COMPUTED_VALUE"""),"45-54 years")</f>
        <v>45-54 years</v>
      </c>
      <c r="H304" s="9">
        <f t="shared" si="6"/>
        <v>6</v>
      </c>
      <c r="I304" s="5">
        <f t="shared" si="3"/>
        <v>6</v>
      </c>
      <c r="J304" s="5">
        <f t="shared" si="4"/>
        <v>21733333.33</v>
      </c>
    </row>
    <row r="305">
      <c r="A305" s="11">
        <v>13.0</v>
      </c>
      <c r="B305" s="5" t="str">
        <f>IFERROR(__xludf.DUMMYFUNCTION("""COMPUTED_VALUE"""),"Influenza and pneumonia (J09-J18)")</f>
        <v>Influenza and pneumonia (J09-J18)</v>
      </c>
      <c r="C305" s="8">
        <f>IFERROR(__xludf.DUMMYFUNCTION("""COMPUTED_VALUE"""),1277.0)</f>
        <v>1277</v>
      </c>
      <c r="D305" s="5">
        <f>IFERROR(__xludf.DUMMYFUNCTION("""COMPUTED_VALUE"""),1.2)</f>
        <v>1.2</v>
      </c>
      <c r="E305" s="9">
        <f>IFERROR(__xludf.DUMMYFUNCTION("""COMPUTED_VALUE"""),5.9)</f>
        <v>5.9</v>
      </c>
      <c r="F305" s="5" t="str">
        <f>IFERROR(__xludf.DUMMYFUNCTION("""COMPUTED_VALUE"""),"male")</f>
        <v>male</v>
      </c>
      <c r="G305" s="5" t="str">
        <f>IFERROR(__xludf.DUMMYFUNCTION("""COMPUTED_VALUE"""),"45-54 years")</f>
        <v>45-54 years</v>
      </c>
      <c r="H305" s="9">
        <f t="shared" si="6"/>
        <v>5.9</v>
      </c>
      <c r="I305" s="5">
        <f t="shared" si="3"/>
        <v>6</v>
      </c>
      <c r="J305" s="5">
        <f t="shared" si="4"/>
        <v>21644067.8</v>
      </c>
    </row>
    <row r="306">
      <c r="A306" s="11">
        <v>14.0</v>
      </c>
      <c r="B306" s="5" t="str">
        <f>IFERROR(__xludf.DUMMYFUNCTION("""COMPUTED_VALUE"""),"Nephritis, nephrotic syndrome and nephrosis (N00-N07,N17-N19,N25-N27)")</f>
        <v>Nephritis, nephrotic syndrome and nephrosis (N00-N07,N17-N19,N25-N27)</v>
      </c>
      <c r="C306" s="8">
        <f>IFERROR(__xludf.DUMMYFUNCTION("""COMPUTED_VALUE"""),1190.0)</f>
        <v>1190</v>
      </c>
      <c r="D306" s="5">
        <f>IFERROR(__xludf.DUMMYFUNCTION("""COMPUTED_VALUE"""),1.1)</f>
        <v>1.1</v>
      </c>
      <c r="E306" s="9">
        <f>IFERROR(__xludf.DUMMYFUNCTION("""COMPUTED_VALUE"""),5.5)</f>
        <v>5.5</v>
      </c>
      <c r="F306" s="5" t="str">
        <f>IFERROR(__xludf.DUMMYFUNCTION("""COMPUTED_VALUE"""),"male")</f>
        <v>male</v>
      </c>
      <c r="G306" s="5" t="str">
        <f>IFERROR(__xludf.DUMMYFUNCTION("""COMPUTED_VALUE"""),"45-54 years")</f>
        <v>45-54 years</v>
      </c>
      <c r="H306" s="9">
        <f t="shared" si="6"/>
        <v>5.5</v>
      </c>
      <c r="I306" s="5">
        <f t="shared" si="3"/>
        <v>6</v>
      </c>
      <c r="J306" s="5">
        <f t="shared" si="4"/>
        <v>21636363.64</v>
      </c>
    </row>
    <row r="307">
      <c r="A307" s="11">
        <v>15.0</v>
      </c>
      <c r="B307" s="5" t="str">
        <f>IFERROR(__xludf.DUMMYFUNCTION("""COMPUTED_VALUE"""),"Essential hypertension and hypertensive renal disease (I10,I12,I15)")</f>
        <v>Essential hypertension and hypertensive renal disease (I10,I12,I15)</v>
      </c>
      <c r="C307" s="8">
        <f>IFERROR(__xludf.DUMMYFUNCTION("""COMPUTED_VALUE"""),990.0)</f>
        <v>990</v>
      </c>
      <c r="D307" s="5">
        <f>IFERROR(__xludf.DUMMYFUNCTION("""COMPUTED_VALUE"""),0.9)</f>
        <v>0.9</v>
      </c>
      <c r="E307" s="9">
        <f>IFERROR(__xludf.DUMMYFUNCTION("""COMPUTED_VALUE"""),4.6)</f>
        <v>4.6</v>
      </c>
      <c r="F307" s="5" t="str">
        <f>IFERROR(__xludf.DUMMYFUNCTION("""COMPUTED_VALUE"""),"male")</f>
        <v>male</v>
      </c>
      <c r="G307" s="5" t="str">
        <f>IFERROR(__xludf.DUMMYFUNCTION("""COMPUTED_VALUE"""),"45-54 years")</f>
        <v>45-54 years</v>
      </c>
      <c r="H307" s="9">
        <f t="shared" si="6"/>
        <v>4.6</v>
      </c>
      <c r="I307" s="5">
        <f t="shared" si="3"/>
        <v>6</v>
      </c>
      <c r="J307" s="5">
        <f t="shared" si="4"/>
        <v>21521739.13</v>
      </c>
    </row>
    <row r="308">
      <c r="A308" s="7" t="s">
        <v>12</v>
      </c>
      <c r="B308" s="5" t="str">
        <f>IFERROR(__xludf.DUMMYFUNCTION("""COMPUTED_VALUE"""),"All other causes (Residual)")</f>
        <v>All other causes (Residual)</v>
      </c>
      <c r="C308" s="8">
        <f>IFERROR(__xludf.DUMMYFUNCTION("""COMPUTED_VALUE"""),16189.0)</f>
        <v>16189</v>
      </c>
      <c r="D308" s="5">
        <f>IFERROR(__xludf.DUMMYFUNCTION("""COMPUTED_VALUE"""),15.0)</f>
        <v>15</v>
      </c>
      <c r="E308" s="9">
        <f>IFERROR(__xludf.DUMMYFUNCTION("""COMPUTED_VALUE"""),75.1)</f>
        <v>75.1</v>
      </c>
      <c r="F308" s="5" t="str">
        <f>IFERROR(__xludf.DUMMYFUNCTION("""COMPUTED_VALUE"""),"male")</f>
        <v>male</v>
      </c>
      <c r="G308" s="5" t="str">
        <f>IFERROR(__xludf.DUMMYFUNCTION("""COMPUTED_VALUE"""),"45-54 years")</f>
        <v>45-54 years</v>
      </c>
      <c r="H308" s="9">
        <f t="shared" si="6"/>
        <v>75.1</v>
      </c>
      <c r="I308" s="5">
        <f t="shared" si="3"/>
        <v>6</v>
      </c>
      <c r="J308" s="5">
        <f t="shared" si="4"/>
        <v>21556591.21</v>
      </c>
    </row>
    <row r="309">
      <c r="A309" s="7" t="s">
        <v>12</v>
      </c>
      <c r="B309" s="5" t="str">
        <f>IFERROR(__xludf.DUMMYFUNCTION("""COMPUTED_VALUE"""),"All causes")</f>
        <v>All causes</v>
      </c>
      <c r="C309" s="8">
        <f>IFERROR(__xludf.DUMMYFUNCTION("""COMPUTED_VALUE"""),206325.0)</f>
        <v>206325</v>
      </c>
      <c r="D309" s="5">
        <f>IFERROR(__xludf.DUMMYFUNCTION("""COMPUTED_VALUE"""),100.0)</f>
        <v>100</v>
      </c>
      <c r="E309" s="9">
        <f>IFERROR(__xludf.DUMMYFUNCTION("""COMPUTED_VALUE"""),1088.4)</f>
        <v>1088.4</v>
      </c>
      <c r="F309" s="5" t="str">
        <f>IFERROR(__xludf.DUMMYFUNCTION("""COMPUTED_VALUE"""),"male")</f>
        <v>male</v>
      </c>
      <c r="G309" s="5" t="str">
        <f>IFERROR(__xludf.DUMMYFUNCTION("""COMPUTED_VALUE"""),"55-64 years")</f>
        <v>55-64 years</v>
      </c>
      <c r="H309" s="9">
        <f t="shared" si="6"/>
        <v>1088.4</v>
      </c>
      <c r="I309" s="5">
        <f t="shared" si="3"/>
        <v>7</v>
      </c>
      <c r="J309" s="5">
        <f t="shared" si="4"/>
        <v>18956725.47</v>
      </c>
    </row>
    <row r="310">
      <c r="A310" s="11">
        <v>1.0</v>
      </c>
      <c r="B310" s="5" t="str">
        <f>IFERROR(__xludf.DUMMYFUNCTION("""COMPUTED_VALUE"""),"Malignant neoplasms (C00-C97)")</f>
        <v>Malignant neoplasms (C00-C97)</v>
      </c>
      <c r="C310" s="8">
        <f>IFERROR(__xludf.DUMMYFUNCTION("""COMPUTED_VALUE"""),62810.0)</f>
        <v>62810</v>
      </c>
      <c r="D310" s="5">
        <f>IFERROR(__xludf.DUMMYFUNCTION("""COMPUTED_VALUE"""),30.4)</f>
        <v>30.4</v>
      </c>
      <c r="E310" s="9">
        <f>IFERROR(__xludf.DUMMYFUNCTION("""COMPUTED_VALUE"""),331.3)</f>
        <v>331.3</v>
      </c>
      <c r="F310" s="5" t="str">
        <f>IFERROR(__xludf.DUMMYFUNCTION("""COMPUTED_VALUE"""),"male")</f>
        <v>male</v>
      </c>
      <c r="G310" s="5" t="str">
        <f>IFERROR(__xludf.DUMMYFUNCTION("""COMPUTED_VALUE"""),"55-64 years")</f>
        <v>55-64 years</v>
      </c>
      <c r="H310" s="9">
        <f t="shared" si="6"/>
        <v>331.3</v>
      </c>
      <c r="I310" s="5">
        <f t="shared" si="3"/>
        <v>7</v>
      </c>
      <c r="J310" s="5">
        <f t="shared" si="4"/>
        <v>18958647.75</v>
      </c>
    </row>
    <row r="311">
      <c r="A311" s="11">
        <v>2.0</v>
      </c>
      <c r="B311" s="5" t="str">
        <f>IFERROR(__xludf.DUMMYFUNCTION("""COMPUTED_VALUE"""),"Diseases of heart (I00-I09,I11,I13,I20-I51)")</f>
        <v>Diseases of heart (I00-I09,I11,I13,I20-I51)</v>
      </c>
      <c r="C311" s="8">
        <f>IFERROR(__xludf.DUMMYFUNCTION("""COMPUTED_VALUE"""),50680.0)</f>
        <v>50680</v>
      </c>
      <c r="D311" s="5">
        <f>IFERROR(__xludf.DUMMYFUNCTION("""COMPUTED_VALUE"""),24.6)</f>
        <v>24.6</v>
      </c>
      <c r="E311" s="9">
        <f>IFERROR(__xludf.DUMMYFUNCTION("""COMPUTED_VALUE"""),267.3)</f>
        <v>267.3</v>
      </c>
      <c r="F311" s="5" t="str">
        <f>IFERROR(__xludf.DUMMYFUNCTION("""COMPUTED_VALUE"""),"male")</f>
        <v>male</v>
      </c>
      <c r="G311" s="5" t="str">
        <f>IFERROR(__xludf.DUMMYFUNCTION("""COMPUTED_VALUE"""),"55-64 years")</f>
        <v>55-64 years</v>
      </c>
      <c r="H311" s="9">
        <f t="shared" si="6"/>
        <v>267.3</v>
      </c>
      <c r="I311" s="5">
        <f t="shared" si="3"/>
        <v>7</v>
      </c>
      <c r="J311" s="5">
        <f t="shared" si="4"/>
        <v>18959970.07</v>
      </c>
    </row>
    <row r="312">
      <c r="A312" s="11">
        <v>3.0</v>
      </c>
      <c r="B312" s="5" t="str">
        <f>IFERROR(__xludf.DUMMYFUNCTION("""COMPUTED_VALUE"""),"Accidents (unintentional injuries) (V01-X59,Y85-Y86)")</f>
        <v>Accidents (unintentional injuries) (V01-X59,Y85-Y86)</v>
      </c>
      <c r="C312" s="8">
        <f>IFERROR(__xludf.DUMMYFUNCTION("""COMPUTED_VALUE"""),11658.0)</f>
        <v>11658</v>
      </c>
      <c r="D312" s="5">
        <f>IFERROR(__xludf.DUMMYFUNCTION("""COMPUTED_VALUE"""),5.7)</f>
        <v>5.7</v>
      </c>
      <c r="E312" s="9">
        <f>IFERROR(__xludf.DUMMYFUNCTION("""COMPUTED_VALUE"""),61.5)</f>
        <v>61.5</v>
      </c>
      <c r="F312" s="5" t="str">
        <f>IFERROR(__xludf.DUMMYFUNCTION("""COMPUTED_VALUE"""),"male")</f>
        <v>male</v>
      </c>
      <c r="G312" s="5" t="str">
        <f>IFERROR(__xludf.DUMMYFUNCTION("""COMPUTED_VALUE"""),"55-64 years")</f>
        <v>55-64 years</v>
      </c>
      <c r="H312" s="9">
        <f t="shared" si="6"/>
        <v>61.5</v>
      </c>
      <c r="I312" s="5">
        <f t="shared" si="3"/>
        <v>7</v>
      </c>
      <c r="J312" s="5">
        <f t="shared" si="4"/>
        <v>18956097.56</v>
      </c>
    </row>
    <row r="313">
      <c r="A313" s="11">
        <v>4.0</v>
      </c>
      <c r="B313" s="5" t="str">
        <f>IFERROR(__xludf.DUMMYFUNCTION("""COMPUTED_VALUE"""),"Chronic liver disease and cirrhosis (K70,K73-K74)")</f>
        <v>Chronic liver disease and cirrhosis (K70,K73-K74)</v>
      </c>
      <c r="C313" s="8">
        <f>IFERROR(__xludf.DUMMYFUNCTION("""COMPUTED_VALUE"""),8485.0)</f>
        <v>8485</v>
      </c>
      <c r="D313" s="5">
        <f>IFERROR(__xludf.DUMMYFUNCTION("""COMPUTED_VALUE"""),4.1)</f>
        <v>4.1</v>
      </c>
      <c r="E313" s="9">
        <f>IFERROR(__xludf.DUMMYFUNCTION("""COMPUTED_VALUE"""),44.8)</f>
        <v>44.8</v>
      </c>
      <c r="F313" s="5" t="str">
        <f>IFERROR(__xludf.DUMMYFUNCTION("""COMPUTED_VALUE"""),"male")</f>
        <v>male</v>
      </c>
      <c r="G313" s="5" t="str">
        <f>IFERROR(__xludf.DUMMYFUNCTION("""COMPUTED_VALUE"""),"55-64 years")</f>
        <v>55-64 years</v>
      </c>
      <c r="H313" s="9">
        <f t="shared" si="6"/>
        <v>44.8</v>
      </c>
      <c r="I313" s="5">
        <f t="shared" si="3"/>
        <v>7</v>
      </c>
      <c r="J313" s="5">
        <f t="shared" si="4"/>
        <v>18939732.14</v>
      </c>
    </row>
    <row r="314">
      <c r="A314" s="11">
        <v>5.0</v>
      </c>
      <c r="B314" s="5" t="str">
        <f>IFERROR(__xludf.DUMMYFUNCTION("""COMPUTED_VALUE"""),"Chronic lower respiratory diseases (J40-J47)")</f>
        <v>Chronic lower respiratory diseases (J40-J47)</v>
      </c>
      <c r="C314" s="8">
        <f>IFERROR(__xludf.DUMMYFUNCTION("""COMPUTED_VALUE"""),8287.0)</f>
        <v>8287</v>
      </c>
      <c r="D314" s="5">
        <f>IFERROR(__xludf.DUMMYFUNCTION("""COMPUTED_VALUE"""),4.0)</f>
        <v>4</v>
      </c>
      <c r="E314" s="9">
        <f>IFERROR(__xludf.DUMMYFUNCTION("""COMPUTED_VALUE"""),43.7)</f>
        <v>43.7</v>
      </c>
      <c r="F314" s="5" t="str">
        <f>IFERROR(__xludf.DUMMYFUNCTION("""COMPUTED_VALUE"""),"male")</f>
        <v>male</v>
      </c>
      <c r="G314" s="5" t="str">
        <f>IFERROR(__xludf.DUMMYFUNCTION("""COMPUTED_VALUE"""),"55-64 years")</f>
        <v>55-64 years</v>
      </c>
      <c r="H314" s="9">
        <f t="shared" si="6"/>
        <v>43.7</v>
      </c>
      <c r="I314" s="5">
        <f t="shared" si="3"/>
        <v>7</v>
      </c>
      <c r="J314" s="5">
        <f t="shared" si="4"/>
        <v>18963386.73</v>
      </c>
    </row>
    <row r="315">
      <c r="A315" s="11">
        <v>6.0</v>
      </c>
      <c r="B315" s="5" t="str">
        <f>IFERROR(__xludf.DUMMYFUNCTION("""COMPUTED_VALUE"""),"Diabetes mellitus (E10-E14)")</f>
        <v>Diabetes mellitus (E10-E14)</v>
      </c>
      <c r="C315" s="8">
        <f>IFERROR(__xludf.DUMMYFUNCTION("""COMPUTED_VALUE"""),7933.0)</f>
        <v>7933</v>
      </c>
      <c r="D315" s="5">
        <f>IFERROR(__xludf.DUMMYFUNCTION("""COMPUTED_VALUE"""),3.8)</f>
        <v>3.8</v>
      </c>
      <c r="E315" s="9">
        <f>IFERROR(__xludf.DUMMYFUNCTION("""COMPUTED_VALUE"""),41.8)</f>
        <v>41.8</v>
      </c>
      <c r="F315" s="5" t="str">
        <f>IFERROR(__xludf.DUMMYFUNCTION("""COMPUTED_VALUE"""),"male")</f>
        <v>male</v>
      </c>
      <c r="G315" s="5" t="str">
        <f>IFERROR(__xludf.DUMMYFUNCTION("""COMPUTED_VALUE"""),"55-64 years")</f>
        <v>55-64 years</v>
      </c>
      <c r="H315" s="9">
        <f t="shared" si="6"/>
        <v>41.8</v>
      </c>
      <c r="I315" s="5">
        <f t="shared" si="3"/>
        <v>7</v>
      </c>
      <c r="J315" s="5">
        <f t="shared" si="4"/>
        <v>18978468.9</v>
      </c>
    </row>
    <row r="316">
      <c r="A316" s="11">
        <v>7.0</v>
      </c>
      <c r="B316" s="5" t="str">
        <f>IFERROR(__xludf.DUMMYFUNCTION("""COMPUTED_VALUE"""),"Cerebrovascular diseases (I60-I69)")</f>
        <v>Cerebrovascular diseases (I60-I69)</v>
      </c>
      <c r="C316" s="8">
        <f>IFERROR(__xludf.DUMMYFUNCTION("""COMPUTED_VALUE"""),6651.0)</f>
        <v>6651</v>
      </c>
      <c r="D316" s="5">
        <f>IFERROR(__xludf.DUMMYFUNCTION("""COMPUTED_VALUE"""),3.2)</f>
        <v>3.2</v>
      </c>
      <c r="E316" s="9">
        <f>IFERROR(__xludf.DUMMYFUNCTION("""COMPUTED_VALUE"""),35.1)</f>
        <v>35.1</v>
      </c>
      <c r="F316" s="5" t="str">
        <f>IFERROR(__xludf.DUMMYFUNCTION("""COMPUTED_VALUE"""),"male")</f>
        <v>male</v>
      </c>
      <c r="G316" s="5" t="str">
        <f>IFERROR(__xludf.DUMMYFUNCTION("""COMPUTED_VALUE"""),"55-64 years")</f>
        <v>55-64 years</v>
      </c>
      <c r="H316" s="9">
        <f t="shared" si="6"/>
        <v>35.1</v>
      </c>
      <c r="I316" s="5">
        <f t="shared" si="3"/>
        <v>7</v>
      </c>
      <c r="J316" s="5">
        <f t="shared" si="4"/>
        <v>18948717.95</v>
      </c>
    </row>
    <row r="317">
      <c r="A317" s="11">
        <v>8.0</v>
      </c>
      <c r="B317" s="5" t="str">
        <f>IFERROR(__xludf.DUMMYFUNCTION("""COMPUTED_VALUE"""),"Intentional self-harm (suicide) (*U03,X60-X84,Y87.0)")</f>
        <v>Intentional self-harm (suicide) (*U03,X60-X84,Y87.0)</v>
      </c>
      <c r="C317" s="8">
        <f>IFERROR(__xludf.DUMMYFUNCTION("""COMPUTED_VALUE"""),5373.0)</f>
        <v>5373</v>
      </c>
      <c r="D317" s="5">
        <f>IFERROR(__xludf.DUMMYFUNCTION("""COMPUTED_VALUE"""),2.6)</f>
        <v>2.6</v>
      </c>
      <c r="E317" s="9">
        <f>IFERROR(__xludf.DUMMYFUNCTION("""COMPUTED_VALUE"""),28.3)</f>
        <v>28.3</v>
      </c>
      <c r="F317" s="5" t="str">
        <f>IFERROR(__xludf.DUMMYFUNCTION("""COMPUTED_VALUE"""),"male")</f>
        <v>male</v>
      </c>
      <c r="G317" s="5" t="str">
        <f>IFERROR(__xludf.DUMMYFUNCTION("""COMPUTED_VALUE"""),"55-64 years")</f>
        <v>55-64 years</v>
      </c>
      <c r="H317" s="9">
        <f t="shared" si="6"/>
        <v>28.3</v>
      </c>
      <c r="I317" s="5">
        <f t="shared" si="3"/>
        <v>7</v>
      </c>
      <c r="J317" s="5">
        <f t="shared" si="4"/>
        <v>18985865.72</v>
      </c>
    </row>
    <row r="318">
      <c r="A318" s="11">
        <v>9.0</v>
      </c>
      <c r="B318" s="5" t="str">
        <f>IFERROR(__xludf.DUMMYFUNCTION("""COMPUTED_VALUE"""),"Septicemia (A40-A41)")</f>
        <v>Septicemia (A40-A41)</v>
      </c>
      <c r="C318" s="8">
        <f>IFERROR(__xludf.DUMMYFUNCTION("""COMPUTED_VALUE"""),2892.0)</f>
        <v>2892</v>
      </c>
      <c r="D318" s="5">
        <f>IFERROR(__xludf.DUMMYFUNCTION("""COMPUTED_VALUE"""),1.4)</f>
        <v>1.4</v>
      </c>
      <c r="E318" s="9">
        <f>IFERROR(__xludf.DUMMYFUNCTION("""COMPUTED_VALUE"""),15.3)</f>
        <v>15.3</v>
      </c>
      <c r="F318" s="5" t="str">
        <f>IFERROR(__xludf.DUMMYFUNCTION("""COMPUTED_VALUE"""),"male")</f>
        <v>male</v>
      </c>
      <c r="G318" s="5" t="str">
        <f>IFERROR(__xludf.DUMMYFUNCTION("""COMPUTED_VALUE"""),"55-64 years")</f>
        <v>55-64 years</v>
      </c>
      <c r="H318" s="9">
        <f t="shared" si="6"/>
        <v>15.3</v>
      </c>
      <c r="I318" s="5">
        <f t="shared" si="3"/>
        <v>7</v>
      </c>
      <c r="J318" s="5">
        <f t="shared" si="4"/>
        <v>18901960.78</v>
      </c>
    </row>
    <row r="319">
      <c r="A319" s="11">
        <v>10.0</v>
      </c>
      <c r="B319" s="5" t="str">
        <f>IFERROR(__xludf.DUMMYFUNCTION("""COMPUTED_VALUE"""),"Nephritis, nephrotic syndrome and nephrosis (N00-N07,N17-N19,N25-N27)")</f>
        <v>Nephritis, nephrotic syndrome and nephrosis (N00-N07,N17-N19,N25-N27)</v>
      </c>
      <c r="C319" s="8">
        <f>IFERROR(__xludf.DUMMYFUNCTION("""COMPUTED_VALUE"""),2800.0)</f>
        <v>2800</v>
      </c>
      <c r="D319" s="5">
        <f>IFERROR(__xludf.DUMMYFUNCTION("""COMPUTED_VALUE"""),1.4)</f>
        <v>1.4</v>
      </c>
      <c r="E319" s="9">
        <f>IFERROR(__xludf.DUMMYFUNCTION("""COMPUTED_VALUE"""),14.8)</f>
        <v>14.8</v>
      </c>
      <c r="F319" s="5" t="str">
        <f>IFERROR(__xludf.DUMMYFUNCTION("""COMPUTED_VALUE"""),"male")</f>
        <v>male</v>
      </c>
      <c r="G319" s="5" t="str">
        <f>IFERROR(__xludf.DUMMYFUNCTION("""COMPUTED_VALUE"""),"55-64 years")</f>
        <v>55-64 years</v>
      </c>
      <c r="H319" s="9">
        <f t="shared" si="6"/>
        <v>14.8</v>
      </c>
      <c r="I319" s="5">
        <f t="shared" si="3"/>
        <v>7</v>
      </c>
      <c r="J319" s="5">
        <f t="shared" si="4"/>
        <v>18918918.92</v>
      </c>
    </row>
    <row r="320">
      <c r="A320" s="11">
        <v>11.0</v>
      </c>
      <c r="B320" s="5" t="str">
        <f>IFERROR(__xludf.DUMMYFUNCTION("""COMPUTED_VALUE"""),"Viral hepatitis (B15-B19)")</f>
        <v>Viral hepatitis (B15-B19)</v>
      </c>
      <c r="C320" s="8">
        <f>IFERROR(__xludf.DUMMYFUNCTION("""COMPUTED_VALUE"""),2792.0)</f>
        <v>2792</v>
      </c>
      <c r="D320" s="5">
        <f>IFERROR(__xludf.DUMMYFUNCTION("""COMPUTED_VALUE"""),1.4)</f>
        <v>1.4</v>
      </c>
      <c r="E320" s="9">
        <f>IFERROR(__xludf.DUMMYFUNCTION("""COMPUTED_VALUE"""),14.7)</f>
        <v>14.7</v>
      </c>
      <c r="F320" s="5" t="str">
        <f>IFERROR(__xludf.DUMMYFUNCTION("""COMPUTED_VALUE"""),"male")</f>
        <v>male</v>
      </c>
      <c r="G320" s="5" t="str">
        <f>IFERROR(__xludf.DUMMYFUNCTION("""COMPUTED_VALUE"""),"55-64 years")</f>
        <v>55-64 years</v>
      </c>
      <c r="H320" s="9">
        <f t="shared" si="6"/>
        <v>14.7</v>
      </c>
      <c r="I320" s="5">
        <f t="shared" si="3"/>
        <v>7</v>
      </c>
      <c r="J320" s="5">
        <f t="shared" si="4"/>
        <v>18993197.28</v>
      </c>
    </row>
    <row r="321">
      <c r="A321" s="11">
        <v>12.0</v>
      </c>
      <c r="B321" s="5" t="str">
        <f>IFERROR(__xludf.DUMMYFUNCTION("""COMPUTED_VALUE"""),"Influenza and pneumonia (J09-J18)")</f>
        <v>Influenza and pneumonia (J09-J18)</v>
      </c>
      <c r="C321" s="8">
        <f>IFERROR(__xludf.DUMMYFUNCTION("""COMPUTED_VALUE"""),2745.0)</f>
        <v>2745</v>
      </c>
      <c r="D321" s="5">
        <f>IFERROR(__xludf.DUMMYFUNCTION("""COMPUTED_VALUE"""),1.3)</f>
        <v>1.3</v>
      </c>
      <c r="E321" s="9">
        <f>IFERROR(__xludf.DUMMYFUNCTION("""COMPUTED_VALUE"""),14.5)</f>
        <v>14.5</v>
      </c>
      <c r="F321" s="5" t="str">
        <f>IFERROR(__xludf.DUMMYFUNCTION("""COMPUTED_VALUE"""),"male")</f>
        <v>male</v>
      </c>
      <c r="G321" s="5" t="str">
        <f>IFERROR(__xludf.DUMMYFUNCTION("""COMPUTED_VALUE"""),"55-64 years")</f>
        <v>55-64 years</v>
      </c>
      <c r="H321" s="9">
        <f t="shared" si="6"/>
        <v>14.5</v>
      </c>
      <c r="I321" s="5">
        <f t="shared" si="3"/>
        <v>7</v>
      </c>
      <c r="J321" s="5">
        <f t="shared" si="4"/>
        <v>18931034.48</v>
      </c>
    </row>
    <row r="322">
      <c r="A322" s="11">
        <v>13.0</v>
      </c>
      <c r="B322" s="5" t="str">
        <f>IFERROR(__xludf.DUMMYFUNCTION("""COMPUTED_VALUE"""),"Essential hypertension and hypertensive renal disease (I10,I12,I15)")</f>
        <v>Essential hypertension and hypertensive renal disease (I10,I12,I15)</v>
      </c>
      <c r="C322" s="8">
        <f>IFERROR(__xludf.DUMMYFUNCTION("""COMPUTED_VALUE"""),1990.0)</f>
        <v>1990</v>
      </c>
      <c r="D322" s="5">
        <f>IFERROR(__xludf.DUMMYFUNCTION("""COMPUTED_VALUE"""),1.0)</f>
        <v>1</v>
      </c>
      <c r="E322" s="9">
        <f>IFERROR(__xludf.DUMMYFUNCTION("""COMPUTED_VALUE"""),10.5)</f>
        <v>10.5</v>
      </c>
      <c r="F322" s="5" t="str">
        <f>IFERROR(__xludf.DUMMYFUNCTION("""COMPUTED_VALUE"""),"male")</f>
        <v>male</v>
      </c>
      <c r="G322" s="5" t="str">
        <f>IFERROR(__xludf.DUMMYFUNCTION("""COMPUTED_VALUE"""),"55-64 years")</f>
        <v>55-64 years</v>
      </c>
      <c r="H322" s="9">
        <f t="shared" si="6"/>
        <v>10.5</v>
      </c>
      <c r="I322" s="5">
        <f t="shared" si="3"/>
        <v>7</v>
      </c>
      <c r="J322" s="5">
        <f t="shared" si="4"/>
        <v>18952380.95</v>
      </c>
    </row>
    <row r="323">
      <c r="A323" s="11">
        <v>14.0</v>
      </c>
      <c r="B323" s="5" t="str">
        <f>IFERROR(__xludf.DUMMYFUNCTION("""COMPUTED_VALUE"""),"Human immunodeficiency virus (HIV) disease (B20-B24)")</f>
        <v>Human immunodeficiency virus (HIV) disease (B20-B24)</v>
      </c>
      <c r="C323" s="8">
        <f>IFERROR(__xludf.DUMMYFUNCTION("""COMPUTED_VALUE"""),1369.0)</f>
        <v>1369</v>
      </c>
      <c r="D323" s="5">
        <f>IFERROR(__xludf.DUMMYFUNCTION("""COMPUTED_VALUE"""),0.7)</f>
        <v>0.7</v>
      </c>
      <c r="E323" s="9">
        <f>IFERROR(__xludf.DUMMYFUNCTION("""COMPUTED_VALUE"""),7.2)</f>
        <v>7.2</v>
      </c>
      <c r="F323" s="5" t="str">
        <f>IFERROR(__xludf.DUMMYFUNCTION("""COMPUTED_VALUE"""),"male")</f>
        <v>male</v>
      </c>
      <c r="G323" s="5" t="str">
        <f>IFERROR(__xludf.DUMMYFUNCTION("""COMPUTED_VALUE"""),"55-64 years")</f>
        <v>55-64 years</v>
      </c>
      <c r="H323" s="9">
        <f t="shared" si="6"/>
        <v>7.2</v>
      </c>
      <c r="I323" s="5">
        <f t="shared" si="3"/>
        <v>7</v>
      </c>
      <c r="J323" s="5">
        <f t="shared" si="4"/>
        <v>19013888.89</v>
      </c>
    </row>
    <row r="324">
      <c r="A324" s="11">
        <v>15.0</v>
      </c>
      <c r="B324" s="5" t="str">
        <f>IFERROR(__xludf.DUMMYFUNCTION("""COMPUTED_VALUE"""),"Aortic aneurysm and dissection (I71)")</f>
        <v>Aortic aneurysm and dissection (I71)</v>
      </c>
      <c r="C324" s="8">
        <f>IFERROR(__xludf.DUMMYFUNCTION("""COMPUTED_VALUE"""),934.0)</f>
        <v>934</v>
      </c>
      <c r="D324" s="5">
        <f>IFERROR(__xludf.DUMMYFUNCTION("""COMPUTED_VALUE"""),0.5)</f>
        <v>0.5</v>
      </c>
      <c r="E324" s="9">
        <f>IFERROR(__xludf.DUMMYFUNCTION("""COMPUTED_VALUE"""),4.9)</f>
        <v>4.9</v>
      </c>
      <c r="F324" s="5" t="str">
        <f>IFERROR(__xludf.DUMMYFUNCTION("""COMPUTED_VALUE"""),"male")</f>
        <v>male</v>
      </c>
      <c r="G324" s="5" t="str">
        <f>IFERROR(__xludf.DUMMYFUNCTION("""COMPUTED_VALUE"""),"55-64 years")</f>
        <v>55-64 years</v>
      </c>
      <c r="H324" s="9">
        <f t="shared" si="6"/>
        <v>4.9</v>
      </c>
      <c r="I324" s="5">
        <f t="shared" si="3"/>
        <v>7</v>
      </c>
      <c r="J324" s="5">
        <f t="shared" si="4"/>
        <v>19061224.49</v>
      </c>
    </row>
    <row r="325">
      <c r="A325" s="7" t="s">
        <v>12</v>
      </c>
      <c r="B325" s="5" t="str">
        <f>IFERROR(__xludf.DUMMYFUNCTION("""COMPUTED_VALUE"""),"All other causes (Residual)")</f>
        <v>All other causes (Residual)</v>
      </c>
      <c r="C325" s="8">
        <f>IFERROR(__xludf.DUMMYFUNCTION("""COMPUTED_VALUE"""),28926.0)</f>
        <v>28926</v>
      </c>
      <c r="D325" s="5">
        <f>IFERROR(__xludf.DUMMYFUNCTION("""COMPUTED_VALUE"""),14.0)</f>
        <v>14</v>
      </c>
      <c r="E325" s="9">
        <f>IFERROR(__xludf.DUMMYFUNCTION("""COMPUTED_VALUE"""),152.6)</f>
        <v>152.6</v>
      </c>
      <c r="F325" s="5" t="str">
        <f>IFERROR(__xludf.DUMMYFUNCTION("""COMPUTED_VALUE"""),"male")</f>
        <v>male</v>
      </c>
      <c r="G325" s="5" t="str">
        <f>IFERROR(__xludf.DUMMYFUNCTION("""COMPUTED_VALUE"""),"55-64 years")</f>
        <v>55-64 years</v>
      </c>
      <c r="H325" s="9">
        <f t="shared" si="6"/>
        <v>152.6</v>
      </c>
      <c r="I325" s="5">
        <f t="shared" si="3"/>
        <v>7</v>
      </c>
      <c r="J325" s="5">
        <f t="shared" si="4"/>
        <v>18955439.06</v>
      </c>
    </row>
    <row r="326">
      <c r="A326" s="7" t="s">
        <v>12</v>
      </c>
      <c r="B326" s="5" t="str">
        <f>IFERROR(__xludf.DUMMYFUNCTION("""COMPUTED_VALUE"""),"All causes")</f>
        <v>All causes</v>
      </c>
      <c r="C326" s="8">
        <f>IFERROR(__xludf.DUMMYFUNCTION("""COMPUTED_VALUE"""),257898.0)</f>
        <v>257898</v>
      </c>
      <c r="D326" s="5">
        <f>IFERROR(__xludf.DUMMYFUNCTION("""COMPUTED_VALUE"""),100.0)</f>
        <v>100</v>
      </c>
      <c r="E326" s="9">
        <f>IFERROR(__xludf.DUMMYFUNCTION("""COMPUTED_VALUE"""),2186.0)</f>
        <v>2186</v>
      </c>
      <c r="F326" s="5" t="str">
        <f>IFERROR(__xludf.DUMMYFUNCTION("""COMPUTED_VALUE"""),"male")</f>
        <v>male</v>
      </c>
      <c r="G326" s="5" t="str">
        <f>IFERROR(__xludf.DUMMYFUNCTION("""COMPUTED_VALUE"""),"65-74 years")</f>
        <v>65-74 years</v>
      </c>
      <c r="H326" s="9">
        <f t="shared" si="6"/>
        <v>2186</v>
      </c>
      <c r="I326" s="5">
        <f t="shared" si="3"/>
        <v>8</v>
      </c>
      <c r="J326" s="5">
        <f t="shared" si="4"/>
        <v>11797712.72</v>
      </c>
    </row>
    <row r="327">
      <c r="A327" s="11">
        <v>1.0</v>
      </c>
      <c r="B327" s="5" t="str">
        <f>IFERROR(__xludf.DUMMYFUNCTION("""COMPUTED_VALUE"""),"Malignant neoplasms (C00-C97)")</f>
        <v>Malignant neoplasms (C00-C97)</v>
      </c>
      <c r="C327" s="8">
        <f>IFERROR(__xludf.DUMMYFUNCTION("""COMPUTED_VALUE"""),85669.0)</f>
        <v>85669</v>
      </c>
      <c r="D327" s="5">
        <f>IFERROR(__xludf.DUMMYFUNCTION("""COMPUTED_VALUE"""),33.2)</f>
        <v>33.2</v>
      </c>
      <c r="E327" s="9">
        <f>IFERROR(__xludf.DUMMYFUNCTION("""COMPUTED_VALUE"""),726.2)</f>
        <v>726.2</v>
      </c>
      <c r="F327" s="5" t="str">
        <f>IFERROR(__xludf.DUMMYFUNCTION("""COMPUTED_VALUE"""),"male")</f>
        <v>male</v>
      </c>
      <c r="G327" s="5" t="str">
        <f>IFERROR(__xludf.DUMMYFUNCTION("""COMPUTED_VALUE"""),"65-74 years")</f>
        <v>65-74 years</v>
      </c>
      <c r="H327" s="9">
        <f t="shared" si="6"/>
        <v>726.2</v>
      </c>
      <c r="I327" s="5">
        <f t="shared" si="3"/>
        <v>8</v>
      </c>
      <c r="J327" s="5">
        <f t="shared" si="4"/>
        <v>11796887.91</v>
      </c>
    </row>
    <row r="328">
      <c r="A328" s="11">
        <v>2.0</v>
      </c>
      <c r="B328" s="5" t="str">
        <f>IFERROR(__xludf.DUMMYFUNCTION("""COMPUTED_VALUE"""),"Diseases of heart (I00-I09,I11,I13,I20-I51)")</f>
        <v>Diseases of heart (I00-I09,I11,I13,I20-I51)</v>
      </c>
      <c r="C328" s="8">
        <f>IFERROR(__xludf.DUMMYFUNCTION("""COMPUTED_VALUE"""),62634.0)</f>
        <v>62634</v>
      </c>
      <c r="D328" s="5">
        <f>IFERROR(__xludf.DUMMYFUNCTION("""COMPUTED_VALUE"""),24.3)</f>
        <v>24.3</v>
      </c>
      <c r="E328" s="9">
        <f>IFERROR(__xludf.DUMMYFUNCTION("""COMPUTED_VALUE"""),530.9)</f>
        <v>530.9</v>
      </c>
      <c r="F328" s="5" t="str">
        <f>IFERROR(__xludf.DUMMYFUNCTION("""COMPUTED_VALUE"""),"male")</f>
        <v>male</v>
      </c>
      <c r="G328" s="5" t="str">
        <f>IFERROR(__xludf.DUMMYFUNCTION("""COMPUTED_VALUE"""),"65-74 years")</f>
        <v>65-74 years</v>
      </c>
      <c r="H328" s="9">
        <f t="shared" si="6"/>
        <v>530.9</v>
      </c>
      <c r="I328" s="5">
        <f t="shared" si="3"/>
        <v>8</v>
      </c>
      <c r="J328" s="5">
        <f t="shared" si="4"/>
        <v>11797702.02</v>
      </c>
    </row>
    <row r="329">
      <c r="A329" s="11">
        <v>3.0</v>
      </c>
      <c r="B329" s="5" t="str">
        <f>IFERROR(__xludf.DUMMYFUNCTION("""COMPUTED_VALUE"""),"Chronic lower respiratory diseases (J40-J47)")</f>
        <v>Chronic lower respiratory diseases (J40-J47)</v>
      </c>
      <c r="C329" s="8">
        <f>IFERROR(__xludf.DUMMYFUNCTION("""COMPUTED_VALUE"""),17925.0)</f>
        <v>17925</v>
      </c>
      <c r="D329" s="5">
        <f>IFERROR(__xludf.DUMMYFUNCTION("""COMPUTED_VALUE"""),7.0)</f>
        <v>7</v>
      </c>
      <c r="E329" s="9">
        <f>IFERROR(__xludf.DUMMYFUNCTION("""COMPUTED_VALUE"""),151.9)</f>
        <v>151.9</v>
      </c>
      <c r="F329" s="5" t="str">
        <f>IFERROR(__xludf.DUMMYFUNCTION("""COMPUTED_VALUE"""),"male")</f>
        <v>male</v>
      </c>
      <c r="G329" s="5" t="str">
        <f>IFERROR(__xludf.DUMMYFUNCTION("""COMPUTED_VALUE"""),"65-74 years")</f>
        <v>65-74 years</v>
      </c>
      <c r="H329" s="9">
        <f t="shared" si="6"/>
        <v>151.9</v>
      </c>
      <c r="I329" s="5">
        <f t="shared" si="3"/>
        <v>8</v>
      </c>
      <c r="J329" s="5">
        <f t="shared" si="4"/>
        <v>11800526.66</v>
      </c>
    </row>
    <row r="330">
      <c r="A330" s="11">
        <v>4.0</v>
      </c>
      <c r="B330" s="5" t="str">
        <f>IFERROR(__xludf.DUMMYFUNCTION("""COMPUTED_VALUE"""),"Cerebrovascular diseases (I60-I69)")</f>
        <v>Cerebrovascular diseases (I60-I69)</v>
      </c>
      <c r="C330" s="8">
        <f>IFERROR(__xludf.DUMMYFUNCTION("""COMPUTED_VALUE"""),10033.0)</f>
        <v>10033</v>
      </c>
      <c r="D330" s="5">
        <f>IFERROR(__xludf.DUMMYFUNCTION("""COMPUTED_VALUE"""),3.9)</f>
        <v>3.9</v>
      </c>
      <c r="E330" s="9">
        <f>IFERROR(__xludf.DUMMYFUNCTION("""COMPUTED_VALUE"""),85.0)</f>
        <v>85</v>
      </c>
      <c r="F330" s="5" t="str">
        <f>IFERROR(__xludf.DUMMYFUNCTION("""COMPUTED_VALUE"""),"male")</f>
        <v>male</v>
      </c>
      <c r="G330" s="5" t="str">
        <f>IFERROR(__xludf.DUMMYFUNCTION("""COMPUTED_VALUE"""),"65-74 years")</f>
        <v>65-74 years</v>
      </c>
      <c r="H330" s="9">
        <f t="shared" si="6"/>
        <v>85</v>
      </c>
      <c r="I330" s="5">
        <f t="shared" si="3"/>
        <v>8</v>
      </c>
      <c r="J330" s="5">
        <f t="shared" si="4"/>
        <v>11803529.41</v>
      </c>
    </row>
    <row r="331">
      <c r="A331" s="11">
        <v>5.0</v>
      </c>
      <c r="B331" s="5" t="str">
        <f>IFERROR(__xludf.DUMMYFUNCTION("""COMPUTED_VALUE"""),"Diabetes mellitus (E10-E14)")</f>
        <v>Diabetes mellitus (E10-E14)</v>
      </c>
      <c r="C331" s="8">
        <f>IFERROR(__xludf.DUMMYFUNCTION("""COMPUTED_VALUE"""),9857.0)</f>
        <v>9857</v>
      </c>
      <c r="D331" s="5">
        <f>IFERROR(__xludf.DUMMYFUNCTION("""COMPUTED_VALUE"""),3.8)</f>
        <v>3.8</v>
      </c>
      <c r="E331" s="9">
        <f>IFERROR(__xludf.DUMMYFUNCTION("""COMPUTED_VALUE"""),83.6)</f>
        <v>83.6</v>
      </c>
      <c r="F331" s="5" t="str">
        <f>IFERROR(__xludf.DUMMYFUNCTION("""COMPUTED_VALUE"""),"male")</f>
        <v>male</v>
      </c>
      <c r="G331" s="5" t="str">
        <f>IFERROR(__xludf.DUMMYFUNCTION("""COMPUTED_VALUE"""),"65-74 years")</f>
        <v>65-74 years</v>
      </c>
      <c r="H331" s="9">
        <f t="shared" si="6"/>
        <v>83.6</v>
      </c>
      <c r="I331" s="5">
        <f t="shared" si="3"/>
        <v>8</v>
      </c>
      <c r="J331" s="5">
        <f t="shared" si="4"/>
        <v>11790669.86</v>
      </c>
    </row>
    <row r="332">
      <c r="A332" s="11">
        <v>6.0</v>
      </c>
      <c r="B332" s="5" t="str">
        <f>IFERROR(__xludf.DUMMYFUNCTION("""COMPUTED_VALUE"""),"Accidents (unintentional injuries) (V01-X59,Y85-Y86)")</f>
        <v>Accidents (unintentional injuries) (V01-X59,Y85-Y86)</v>
      </c>
      <c r="C332" s="8">
        <f>IFERROR(__xludf.DUMMYFUNCTION("""COMPUTED_VALUE"""),7014.0)</f>
        <v>7014</v>
      </c>
      <c r="D332" s="5">
        <f>IFERROR(__xludf.DUMMYFUNCTION("""COMPUTED_VALUE"""),2.7)</f>
        <v>2.7</v>
      </c>
      <c r="E332" s="9">
        <f>IFERROR(__xludf.DUMMYFUNCTION("""COMPUTED_VALUE"""),59.5)</f>
        <v>59.5</v>
      </c>
      <c r="F332" s="5" t="str">
        <f>IFERROR(__xludf.DUMMYFUNCTION("""COMPUTED_VALUE"""),"male")</f>
        <v>male</v>
      </c>
      <c r="G332" s="5" t="str">
        <f>IFERROR(__xludf.DUMMYFUNCTION("""COMPUTED_VALUE"""),"65-74 years")</f>
        <v>65-74 years</v>
      </c>
      <c r="H332" s="9">
        <f t="shared" si="6"/>
        <v>59.5</v>
      </c>
      <c r="I332" s="5">
        <f t="shared" si="3"/>
        <v>8</v>
      </c>
      <c r="J332" s="5">
        <f t="shared" si="4"/>
        <v>11788235.29</v>
      </c>
    </row>
    <row r="333">
      <c r="A333" s="11">
        <v>7.0</v>
      </c>
      <c r="B333" s="5" t="str">
        <f>IFERROR(__xludf.DUMMYFUNCTION("""COMPUTED_VALUE"""),"Chronic liver disease and cirrhosis (K70,K73-K74)")</f>
        <v>Chronic liver disease and cirrhosis (K70,K73-K74)</v>
      </c>
      <c r="C333" s="8">
        <f>IFERROR(__xludf.DUMMYFUNCTION("""COMPUTED_VALUE"""),4531.0)</f>
        <v>4531</v>
      </c>
      <c r="D333" s="5">
        <f>IFERROR(__xludf.DUMMYFUNCTION("""COMPUTED_VALUE"""),1.8)</f>
        <v>1.8</v>
      </c>
      <c r="E333" s="9">
        <f>IFERROR(__xludf.DUMMYFUNCTION("""COMPUTED_VALUE"""),38.4)</f>
        <v>38.4</v>
      </c>
      <c r="F333" s="5" t="str">
        <f>IFERROR(__xludf.DUMMYFUNCTION("""COMPUTED_VALUE"""),"male")</f>
        <v>male</v>
      </c>
      <c r="G333" s="5" t="str">
        <f>IFERROR(__xludf.DUMMYFUNCTION("""COMPUTED_VALUE"""),"65-74 years")</f>
        <v>65-74 years</v>
      </c>
      <c r="H333" s="9">
        <f t="shared" si="6"/>
        <v>38.4</v>
      </c>
      <c r="I333" s="5">
        <f t="shared" si="3"/>
        <v>8</v>
      </c>
      <c r="J333" s="5">
        <f t="shared" si="4"/>
        <v>11799479.17</v>
      </c>
    </row>
    <row r="334">
      <c r="A334" s="11">
        <v>8.0</v>
      </c>
      <c r="B334" s="5" t="str">
        <f>IFERROR(__xludf.DUMMYFUNCTION("""COMPUTED_VALUE"""),"Nephritis, nephrotic syndrome and nephrosis (N00-N07,N17-N19,N25-N27)")</f>
        <v>Nephritis, nephrotic syndrome and nephrosis (N00-N07,N17-N19,N25-N27)</v>
      </c>
      <c r="C334" s="8">
        <f>IFERROR(__xludf.DUMMYFUNCTION("""COMPUTED_VALUE"""),4469.0)</f>
        <v>4469</v>
      </c>
      <c r="D334" s="5">
        <f>IFERROR(__xludf.DUMMYFUNCTION("""COMPUTED_VALUE"""),1.7)</f>
        <v>1.7</v>
      </c>
      <c r="E334" s="9">
        <f>IFERROR(__xludf.DUMMYFUNCTION("""COMPUTED_VALUE"""),37.9)</f>
        <v>37.9</v>
      </c>
      <c r="F334" s="5" t="str">
        <f>IFERROR(__xludf.DUMMYFUNCTION("""COMPUTED_VALUE"""),"male")</f>
        <v>male</v>
      </c>
      <c r="G334" s="5" t="str">
        <f>IFERROR(__xludf.DUMMYFUNCTION("""COMPUTED_VALUE"""),"65-74 years")</f>
        <v>65-74 years</v>
      </c>
      <c r="H334" s="9">
        <f t="shared" si="6"/>
        <v>37.9</v>
      </c>
      <c r="I334" s="5">
        <f t="shared" si="3"/>
        <v>8</v>
      </c>
      <c r="J334" s="5">
        <f t="shared" si="4"/>
        <v>11791556.73</v>
      </c>
    </row>
    <row r="335">
      <c r="A335" s="11">
        <v>9.0</v>
      </c>
      <c r="B335" s="5" t="str">
        <f>IFERROR(__xludf.DUMMYFUNCTION("""COMPUTED_VALUE"""),"Influenza and pneumonia (J09-J18)")</f>
        <v>Influenza and pneumonia (J09-J18)</v>
      </c>
      <c r="C335" s="8">
        <f>IFERROR(__xludf.DUMMYFUNCTION("""COMPUTED_VALUE"""),4131.0)</f>
        <v>4131</v>
      </c>
      <c r="D335" s="5">
        <f>IFERROR(__xludf.DUMMYFUNCTION("""COMPUTED_VALUE"""),1.6)</f>
        <v>1.6</v>
      </c>
      <c r="E335" s="9">
        <f>IFERROR(__xludf.DUMMYFUNCTION("""COMPUTED_VALUE"""),35.0)</f>
        <v>35</v>
      </c>
      <c r="F335" s="5" t="str">
        <f>IFERROR(__xludf.DUMMYFUNCTION("""COMPUTED_VALUE"""),"male")</f>
        <v>male</v>
      </c>
      <c r="G335" s="5" t="str">
        <f>IFERROR(__xludf.DUMMYFUNCTION("""COMPUTED_VALUE"""),"65-74 years")</f>
        <v>65-74 years</v>
      </c>
      <c r="H335" s="9">
        <f t="shared" si="6"/>
        <v>35</v>
      </c>
      <c r="I335" s="5">
        <f t="shared" si="3"/>
        <v>8</v>
      </c>
      <c r="J335" s="5">
        <f t="shared" si="4"/>
        <v>11802857.14</v>
      </c>
    </row>
    <row r="336">
      <c r="A336" s="11">
        <v>10.0</v>
      </c>
      <c r="B336" s="5" t="str">
        <f>IFERROR(__xludf.DUMMYFUNCTION("""COMPUTED_VALUE"""),"Septicemia (A40-A41)")</f>
        <v>Septicemia (A40-A41)</v>
      </c>
      <c r="C336" s="8">
        <f>IFERROR(__xludf.DUMMYFUNCTION("""COMPUTED_VALUE"""),4002.0)</f>
        <v>4002</v>
      </c>
      <c r="D336" s="5">
        <f>IFERROR(__xludf.DUMMYFUNCTION("""COMPUTED_VALUE"""),1.6)</f>
        <v>1.6</v>
      </c>
      <c r="E336" s="9">
        <f>IFERROR(__xludf.DUMMYFUNCTION("""COMPUTED_VALUE"""),33.9)</f>
        <v>33.9</v>
      </c>
      <c r="F336" s="5" t="str">
        <f>IFERROR(__xludf.DUMMYFUNCTION("""COMPUTED_VALUE"""),"male")</f>
        <v>male</v>
      </c>
      <c r="G336" s="5" t="str">
        <f>IFERROR(__xludf.DUMMYFUNCTION("""COMPUTED_VALUE"""),"65-74 years")</f>
        <v>65-74 years</v>
      </c>
      <c r="H336" s="9">
        <f t="shared" si="6"/>
        <v>33.9</v>
      </c>
      <c r="I336" s="5">
        <f t="shared" si="3"/>
        <v>8</v>
      </c>
      <c r="J336" s="5">
        <f t="shared" si="4"/>
        <v>11805309.73</v>
      </c>
    </row>
    <row r="337">
      <c r="A337" s="11">
        <v>11.0</v>
      </c>
      <c r="B337" s="5" t="str">
        <f>IFERROR(__xludf.DUMMYFUNCTION("""COMPUTED_VALUE"""),"Intentional self-harm (suicide) (*U03,X60-X84,Y87.0)")</f>
        <v>Intentional self-harm (suicide) (*U03,X60-X84,Y87.0)</v>
      </c>
      <c r="C337" s="8">
        <f>IFERROR(__xludf.DUMMYFUNCTION("""COMPUTED_VALUE"""),3072.0)</f>
        <v>3072</v>
      </c>
      <c r="D337" s="5">
        <f>IFERROR(__xludf.DUMMYFUNCTION("""COMPUTED_VALUE"""),1.2)</f>
        <v>1.2</v>
      </c>
      <c r="E337" s="9">
        <f>IFERROR(__xludf.DUMMYFUNCTION("""COMPUTED_VALUE"""),26.0)</f>
        <v>26</v>
      </c>
      <c r="F337" s="5" t="str">
        <f>IFERROR(__xludf.DUMMYFUNCTION("""COMPUTED_VALUE"""),"male")</f>
        <v>male</v>
      </c>
      <c r="G337" s="5" t="str">
        <f>IFERROR(__xludf.DUMMYFUNCTION("""COMPUTED_VALUE"""),"65-74 years")</f>
        <v>65-74 years</v>
      </c>
      <c r="H337" s="9">
        <f t="shared" si="6"/>
        <v>26</v>
      </c>
      <c r="I337" s="5">
        <f t="shared" si="3"/>
        <v>8</v>
      </c>
      <c r="J337" s="5">
        <f t="shared" si="4"/>
        <v>11815384.62</v>
      </c>
    </row>
    <row r="338">
      <c r="A338" s="11">
        <v>12.0</v>
      </c>
      <c r="B338" s="5" t="str">
        <f>IFERROR(__xludf.DUMMYFUNCTION("""COMPUTED_VALUE"""),"Essential hypertension and hypertensive renal disease (I10,I12,I15)")</f>
        <v>Essential hypertension and hypertensive renal disease (I10,I12,I15)</v>
      </c>
      <c r="C338" s="8">
        <f>IFERROR(__xludf.DUMMYFUNCTION("""COMPUTED_VALUE"""),2359.0)</f>
        <v>2359</v>
      </c>
      <c r="D338" s="5">
        <f>IFERROR(__xludf.DUMMYFUNCTION("""COMPUTED_VALUE"""),0.9)</f>
        <v>0.9</v>
      </c>
      <c r="E338" s="9">
        <f>IFERROR(__xludf.DUMMYFUNCTION("""COMPUTED_VALUE"""),20.0)</f>
        <v>20</v>
      </c>
      <c r="F338" s="5" t="str">
        <f>IFERROR(__xludf.DUMMYFUNCTION("""COMPUTED_VALUE"""),"male")</f>
        <v>male</v>
      </c>
      <c r="G338" s="5" t="str">
        <f>IFERROR(__xludf.DUMMYFUNCTION("""COMPUTED_VALUE"""),"65-74 years")</f>
        <v>65-74 years</v>
      </c>
      <c r="H338" s="9">
        <f t="shared" si="6"/>
        <v>20</v>
      </c>
      <c r="I338" s="5">
        <f t="shared" si="3"/>
        <v>8</v>
      </c>
      <c r="J338" s="5">
        <f t="shared" si="4"/>
        <v>11795000</v>
      </c>
    </row>
    <row r="339">
      <c r="A339" s="11">
        <v>13.0</v>
      </c>
      <c r="B339" s="5" t="str">
        <f>IFERROR(__xludf.DUMMYFUNCTION("""COMPUTED_VALUE"""),"Parkinson's disease (G20-G21)")</f>
        <v>Parkinson's disease (G20-G21)</v>
      </c>
      <c r="C339" s="8">
        <f>IFERROR(__xludf.DUMMYFUNCTION("""COMPUTED_VALUE"""),2160.0)</f>
        <v>2160</v>
      </c>
      <c r="D339" s="5">
        <f>IFERROR(__xludf.DUMMYFUNCTION("""COMPUTED_VALUE"""),0.8)</f>
        <v>0.8</v>
      </c>
      <c r="E339" s="9">
        <f>IFERROR(__xludf.DUMMYFUNCTION("""COMPUTED_VALUE"""),18.3)</f>
        <v>18.3</v>
      </c>
      <c r="F339" s="5" t="str">
        <f>IFERROR(__xludf.DUMMYFUNCTION("""COMPUTED_VALUE"""),"male")</f>
        <v>male</v>
      </c>
      <c r="G339" s="5" t="str">
        <f>IFERROR(__xludf.DUMMYFUNCTION("""COMPUTED_VALUE"""),"65-74 years")</f>
        <v>65-74 years</v>
      </c>
      <c r="H339" s="9">
        <f t="shared" si="6"/>
        <v>18.3</v>
      </c>
      <c r="I339" s="5">
        <f t="shared" si="3"/>
        <v>8</v>
      </c>
      <c r="J339" s="5">
        <f t="shared" si="4"/>
        <v>11803278.69</v>
      </c>
    </row>
    <row r="340">
      <c r="A340" s="11">
        <v>14.0</v>
      </c>
      <c r="B340" s="5" t="str">
        <f>IFERROR(__xludf.DUMMYFUNCTION("""COMPUTED_VALUE"""),"Alzheimer's disease (G30)")</f>
        <v>Alzheimer's disease (G30)</v>
      </c>
      <c r="C340" s="8">
        <f>IFERROR(__xludf.DUMMYFUNCTION("""COMPUTED_VALUE"""),1984.0)</f>
        <v>1984</v>
      </c>
      <c r="D340" s="5">
        <f>IFERROR(__xludf.DUMMYFUNCTION("""COMPUTED_VALUE"""),0.8)</f>
        <v>0.8</v>
      </c>
      <c r="E340" s="9">
        <f>IFERROR(__xludf.DUMMYFUNCTION("""COMPUTED_VALUE"""),16.8)</f>
        <v>16.8</v>
      </c>
      <c r="F340" s="5" t="str">
        <f>IFERROR(__xludf.DUMMYFUNCTION("""COMPUTED_VALUE"""),"male")</f>
        <v>male</v>
      </c>
      <c r="G340" s="5" t="str">
        <f>IFERROR(__xludf.DUMMYFUNCTION("""COMPUTED_VALUE"""),"65-74 years")</f>
        <v>65-74 years</v>
      </c>
      <c r="H340" s="9">
        <f t="shared" si="6"/>
        <v>16.8</v>
      </c>
      <c r="I340" s="5">
        <f t="shared" si="3"/>
        <v>8</v>
      </c>
      <c r="J340" s="5">
        <f t="shared" si="4"/>
        <v>11809523.81</v>
      </c>
    </row>
    <row r="341">
      <c r="A341" s="11">
        <v>15.0</v>
      </c>
      <c r="B341" s="5" t="str">
        <f>IFERROR(__xludf.DUMMYFUNCTION("""COMPUTED_VALUE"""),"In situ neoplasms, benign neoplasms and neoplasms of uncertain or unknown behavior (D00-D48)")</f>
        <v>In situ neoplasms, benign neoplasms and neoplasms of uncertain or unknown behavior (D00-D48)</v>
      </c>
      <c r="C341" s="8">
        <f>IFERROR(__xludf.DUMMYFUNCTION("""COMPUTED_VALUE"""),1657.0)</f>
        <v>1657</v>
      </c>
      <c r="D341" s="5">
        <f>IFERROR(__xludf.DUMMYFUNCTION("""COMPUTED_VALUE"""),0.6)</f>
        <v>0.6</v>
      </c>
      <c r="E341" s="9">
        <f>IFERROR(__xludf.DUMMYFUNCTION("""COMPUTED_VALUE"""),14.0)</f>
        <v>14</v>
      </c>
      <c r="F341" s="5" t="str">
        <f>IFERROR(__xludf.DUMMYFUNCTION("""COMPUTED_VALUE"""),"male")</f>
        <v>male</v>
      </c>
      <c r="G341" s="5" t="str">
        <f>IFERROR(__xludf.DUMMYFUNCTION("""COMPUTED_VALUE"""),"65-74 years")</f>
        <v>65-74 years</v>
      </c>
      <c r="H341" s="9">
        <f t="shared" si="6"/>
        <v>14</v>
      </c>
      <c r="I341" s="5">
        <f t="shared" si="3"/>
        <v>8</v>
      </c>
      <c r="J341" s="5">
        <f t="shared" si="4"/>
        <v>11835714.29</v>
      </c>
    </row>
    <row r="342">
      <c r="A342" s="7" t="s">
        <v>12</v>
      </c>
      <c r="B342" s="5" t="str">
        <f>IFERROR(__xludf.DUMMYFUNCTION("""COMPUTED_VALUE"""),"All other causes (Residual)")</f>
        <v>All other causes (Residual)</v>
      </c>
      <c r="C342" s="8">
        <f>IFERROR(__xludf.DUMMYFUNCTION("""COMPUTED_VALUE"""),36401.0)</f>
        <v>36401</v>
      </c>
      <c r="D342" s="5">
        <f>IFERROR(__xludf.DUMMYFUNCTION("""COMPUTED_VALUE"""),14.1)</f>
        <v>14.1</v>
      </c>
      <c r="E342" s="9">
        <f>IFERROR(__xludf.DUMMYFUNCTION("""COMPUTED_VALUE"""),308.5)</f>
        <v>308.5</v>
      </c>
      <c r="F342" s="5" t="str">
        <f>IFERROR(__xludf.DUMMYFUNCTION("""COMPUTED_VALUE"""),"male")</f>
        <v>male</v>
      </c>
      <c r="G342" s="5" t="str">
        <f>IFERROR(__xludf.DUMMYFUNCTION("""COMPUTED_VALUE"""),"65-74 years")</f>
        <v>65-74 years</v>
      </c>
      <c r="H342" s="9">
        <f t="shared" si="6"/>
        <v>308.5</v>
      </c>
      <c r="I342" s="5">
        <f t="shared" si="3"/>
        <v>8</v>
      </c>
      <c r="J342" s="5">
        <f t="shared" si="4"/>
        <v>11799351.7</v>
      </c>
    </row>
    <row r="343">
      <c r="H343" s="5" t="str">
        <f t="shared" si="6"/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57"/>
    <col customWidth="1" min="4" max="4" width="17.57"/>
    <col customWidth="1" min="6" max="7" width="19.86"/>
    <col customWidth="1" min="20" max="20" width="16.43"/>
    <col customWidth="1" min="22" max="22" width="21.4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0</v>
      </c>
      <c r="H1" s="3" t="s">
        <v>9</v>
      </c>
      <c r="I1" s="3" t="s">
        <v>10</v>
      </c>
      <c r="T1" s="5" t="str">
        <f>IFERROR(__xludf.DUMMYFUNCTION("UNIQUE(G3:G1018)"),"all ages")</f>
        <v>all ages</v>
      </c>
      <c r="U1" s="6">
        <v>11.0</v>
      </c>
      <c r="V1" s="6" t="str">
        <f t="shared" ref="V1:V11" si="1">CONCATENATE("T", RIGHT(CONCAT("00", U1), 2), ": ", T1)</f>
        <v>T11: all ages</v>
      </c>
    </row>
    <row r="2">
      <c r="A2" s="7" t="s">
        <v>12</v>
      </c>
      <c r="B2" s="5" t="s">
        <v>13</v>
      </c>
      <c r="C2" s="12">
        <v>2596993.0</v>
      </c>
      <c r="D2" s="5">
        <v>100.0</v>
      </c>
      <c r="E2" s="5">
        <v>821.5</v>
      </c>
      <c r="F2" s="5" t="s">
        <v>14</v>
      </c>
      <c r="G2" s="5" t="s">
        <v>15</v>
      </c>
      <c r="H2" s="12">
        <v>821.5</v>
      </c>
      <c r="I2" s="5">
        <v>11.0</v>
      </c>
      <c r="T2" s="5" t="str">
        <f>IFERROR(__xludf.DUMMYFUNCTION("""COMPUTED_VALUE"""),"1-4 years")</f>
        <v>1-4 years</v>
      </c>
      <c r="U2" s="6">
        <v>1.0</v>
      </c>
      <c r="V2" s="6" t="str">
        <f t="shared" si="1"/>
        <v>T01: 1-4 years</v>
      </c>
    </row>
    <row r="3">
      <c r="A3" s="11">
        <v>1.0</v>
      </c>
      <c r="B3" s="13" t="s">
        <v>16</v>
      </c>
      <c r="C3" s="5">
        <v>611105.0</v>
      </c>
      <c r="D3" s="5">
        <v>23.5</v>
      </c>
      <c r="E3" s="5">
        <v>193.3</v>
      </c>
      <c r="F3" s="5" t="s">
        <v>14</v>
      </c>
      <c r="G3" s="5" t="s">
        <v>15</v>
      </c>
      <c r="H3" s="5">
        <v>193.3</v>
      </c>
      <c r="I3" s="5">
        <v>11.0</v>
      </c>
      <c r="T3" s="5" t="str">
        <f>IFERROR(__xludf.DUMMYFUNCTION("""COMPUTED_VALUE"""),"5-14 years")</f>
        <v>5-14 years</v>
      </c>
      <c r="U3" s="5">
        <f t="shared" ref="U3:U11" si="2">U2+1</f>
        <v>2</v>
      </c>
      <c r="V3" s="6" t="str">
        <f t="shared" si="1"/>
        <v>T02: 5-14 years</v>
      </c>
    </row>
    <row r="4">
      <c r="A4" s="11">
        <v>2.0</v>
      </c>
      <c r="B4" s="5" t="s">
        <v>17</v>
      </c>
      <c r="C4" s="5">
        <v>584881.0</v>
      </c>
      <c r="D4" s="5">
        <v>22.5</v>
      </c>
      <c r="E4" s="5">
        <v>185.0</v>
      </c>
      <c r="F4" s="5" t="s">
        <v>14</v>
      </c>
      <c r="G4" s="5" t="s">
        <v>15</v>
      </c>
      <c r="H4" s="5">
        <v>185.0</v>
      </c>
      <c r="I4" s="5">
        <v>11.0</v>
      </c>
      <c r="T4" s="5" t="str">
        <f>IFERROR(__xludf.DUMMYFUNCTION("""COMPUTED_VALUE"""),"15-24 years")</f>
        <v>15-24 years</v>
      </c>
      <c r="U4" s="5">
        <f t="shared" si="2"/>
        <v>3</v>
      </c>
      <c r="V4" s="6" t="str">
        <f t="shared" si="1"/>
        <v>T03: 15-24 years</v>
      </c>
    </row>
    <row r="5">
      <c r="A5" s="11">
        <v>3.0</v>
      </c>
      <c r="B5" s="5" t="s">
        <v>18</v>
      </c>
      <c r="C5" s="5">
        <v>149205.0</v>
      </c>
      <c r="D5" s="5">
        <v>5.7</v>
      </c>
      <c r="E5" s="5">
        <v>47.2</v>
      </c>
      <c r="F5" s="5" t="s">
        <v>14</v>
      </c>
      <c r="G5" s="5" t="s">
        <v>15</v>
      </c>
      <c r="H5" s="5">
        <v>47.2</v>
      </c>
      <c r="I5" s="5">
        <v>11.0</v>
      </c>
      <c r="T5" s="5" t="str">
        <f>IFERROR(__xludf.DUMMYFUNCTION("""COMPUTED_VALUE"""),"25-34 years")</f>
        <v>25-34 years</v>
      </c>
      <c r="U5" s="5">
        <f t="shared" si="2"/>
        <v>4</v>
      </c>
      <c r="V5" s="6" t="str">
        <f t="shared" si="1"/>
        <v>T04: 25-34 years</v>
      </c>
    </row>
    <row r="6">
      <c r="A6" s="11">
        <v>4.0</v>
      </c>
      <c r="B6" s="14" t="s">
        <v>19</v>
      </c>
      <c r="C6" s="5">
        <v>130557.0</v>
      </c>
      <c r="D6" s="5">
        <v>5.0</v>
      </c>
      <c r="E6" s="5">
        <v>41.3</v>
      </c>
      <c r="F6" s="5" t="s">
        <v>14</v>
      </c>
      <c r="G6" s="5" t="s">
        <v>15</v>
      </c>
      <c r="H6" s="5">
        <v>41.3</v>
      </c>
      <c r="I6" s="5">
        <v>11.0</v>
      </c>
      <c r="T6" s="5" t="str">
        <f>IFERROR(__xludf.DUMMYFUNCTION("""COMPUTED_VALUE"""),"35-44 years")</f>
        <v>35-44 years</v>
      </c>
      <c r="U6" s="5">
        <f t="shared" si="2"/>
        <v>5</v>
      </c>
      <c r="V6" s="6" t="str">
        <f t="shared" si="1"/>
        <v>T05: 35-44 years</v>
      </c>
    </row>
    <row r="7">
      <c r="A7" s="11">
        <v>5.0</v>
      </c>
      <c r="B7" s="5" t="s">
        <v>20</v>
      </c>
      <c r="C7" s="5">
        <v>128978.0</v>
      </c>
      <c r="D7" s="5">
        <v>5.0</v>
      </c>
      <c r="E7" s="5">
        <v>40.8</v>
      </c>
      <c r="F7" s="5" t="s">
        <v>14</v>
      </c>
      <c r="G7" s="5" t="s">
        <v>15</v>
      </c>
      <c r="H7" s="5">
        <v>40.8</v>
      </c>
      <c r="I7" s="5">
        <v>11.0</v>
      </c>
      <c r="T7" s="5" t="str">
        <f>IFERROR(__xludf.DUMMYFUNCTION("""COMPUTED_VALUE"""),"45-54 years")</f>
        <v>45-54 years</v>
      </c>
      <c r="U7" s="5">
        <f t="shared" si="2"/>
        <v>6</v>
      </c>
      <c r="V7" s="6" t="str">
        <f t="shared" si="1"/>
        <v>T06: 45-54 years</v>
      </c>
    </row>
    <row r="8">
      <c r="A8" s="11">
        <v>6.0</v>
      </c>
      <c r="B8" s="5" t="s">
        <v>21</v>
      </c>
      <c r="C8" s="5">
        <v>84767.0</v>
      </c>
      <c r="D8" s="5">
        <v>3.3</v>
      </c>
      <c r="E8" s="5">
        <v>26.8</v>
      </c>
      <c r="F8" s="5" t="s">
        <v>14</v>
      </c>
      <c r="G8" s="5" t="s">
        <v>15</v>
      </c>
      <c r="H8" s="5">
        <v>26.8</v>
      </c>
      <c r="I8" s="5">
        <v>11.0</v>
      </c>
      <c r="T8" s="5" t="str">
        <f>IFERROR(__xludf.DUMMYFUNCTION("""COMPUTED_VALUE"""),"55-64 years")</f>
        <v>55-64 years</v>
      </c>
      <c r="U8" s="5">
        <f t="shared" si="2"/>
        <v>7</v>
      </c>
      <c r="V8" s="6" t="str">
        <f t="shared" si="1"/>
        <v>T07: 55-64 years</v>
      </c>
    </row>
    <row r="9">
      <c r="A9" s="11">
        <v>7.0</v>
      </c>
      <c r="B9" s="5" t="s">
        <v>22</v>
      </c>
      <c r="C9" s="5">
        <v>75578.0</v>
      </c>
      <c r="D9" s="5">
        <v>2.9</v>
      </c>
      <c r="E9" s="5">
        <v>23.9</v>
      </c>
      <c r="F9" s="5" t="s">
        <v>14</v>
      </c>
      <c r="G9" s="5" t="s">
        <v>15</v>
      </c>
      <c r="H9" s="5">
        <v>23.9</v>
      </c>
      <c r="I9" s="5">
        <v>11.0</v>
      </c>
      <c r="T9" s="5" t="str">
        <f>IFERROR(__xludf.DUMMYFUNCTION("""COMPUTED_VALUE"""),"65-74 years")</f>
        <v>65-74 years</v>
      </c>
      <c r="U9" s="5">
        <f t="shared" si="2"/>
        <v>8</v>
      </c>
      <c r="V9" s="6" t="str">
        <f t="shared" si="1"/>
        <v>T08: 65-74 years</v>
      </c>
    </row>
    <row r="10">
      <c r="A10" s="11">
        <v>8.0</v>
      </c>
      <c r="B10" s="5" t="s">
        <v>23</v>
      </c>
      <c r="C10" s="5">
        <v>56979.0</v>
      </c>
      <c r="D10" s="5">
        <v>2.2</v>
      </c>
      <c r="E10" s="5">
        <v>18.0</v>
      </c>
      <c r="F10" s="5" t="s">
        <v>14</v>
      </c>
      <c r="G10" s="5" t="s">
        <v>15</v>
      </c>
      <c r="H10" s="5">
        <v>18.0</v>
      </c>
      <c r="I10" s="5">
        <v>11.0</v>
      </c>
      <c r="T10" s="5" t="str">
        <f>IFERROR(__xludf.DUMMYFUNCTION("""COMPUTED_VALUE"""),"75-84 years")</f>
        <v>75-84 years</v>
      </c>
      <c r="U10" s="5">
        <f t="shared" si="2"/>
        <v>9</v>
      </c>
      <c r="V10" s="6" t="str">
        <f t="shared" si="1"/>
        <v>T09: 75-84 years</v>
      </c>
    </row>
    <row r="11">
      <c r="A11" s="11">
        <v>9.0</v>
      </c>
      <c r="B11" s="5" t="s">
        <v>24</v>
      </c>
      <c r="C11" s="5">
        <v>47112.0</v>
      </c>
      <c r="D11" s="5">
        <v>1.8</v>
      </c>
      <c r="E11" s="5">
        <v>14.9</v>
      </c>
      <c r="F11" s="5" t="s">
        <v>14</v>
      </c>
      <c r="G11" s="5" t="s">
        <v>15</v>
      </c>
      <c r="H11" s="5">
        <v>14.9</v>
      </c>
      <c r="I11" s="5">
        <v>11.0</v>
      </c>
      <c r="T11" s="5" t="str">
        <f>IFERROR(__xludf.DUMMYFUNCTION("""COMPUTED_VALUE"""),"85 years and over")</f>
        <v>85 years and over</v>
      </c>
      <c r="U11" s="5">
        <f t="shared" si="2"/>
        <v>10</v>
      </c>
      <c r="V11" s="6" t="str">
        <f t="shared" si="1"/>
        <v>T10: 85 years and over</v>
      </c>
    </row>
    <row r="12">
      <c r="A12" s="11">
        <v>10.0</v>
      </c>
      <c r="B12" s="5" t="s">
        <v>25</v>
      </c>
      <c r="C12" s="5">
        <v>41149.0</v>
      </c>
      <c r="D12" s="5">
        <v>1.6</v>
      </c>
      <c r="E12" s="5">
        <v>13.0</v>
      </c>
      <c r="F12" s="5" t="s">
        <v>14</v>
      </c>
      <c r="G12" s="5" t="s">
        <v>15</v>
      </c>
      <c r="H12" s="5">
        <v>13.0</v>
      </c>
      <c r="I12" s="5">
        <v>11.0</v>
      </c>
      <c r="T12" s="5"/>
    </row>
    <row r="13">
      <c r="A13" s="11">
        <v>11.0</v>
      </c>
      <c r="B13" s="5" t="s">
        <v>26</v>
      </c>
      <c r="C13" s="5">
        <v>38156.0</v>
      </c>
      <c r="D13" s="5">
        <v>1.5</v>
      </c>
      <c r="E13" s="5">
        <v>12.1</v>
      </c>
      <c r="F13" s="5" t="s">
        <v>14</v>
      </c>
      <c r="G13" s="5" t="s">
        <v>15</v>
      </c>
      <c r="H13" s="5">
        <v>12.1</v>
      </c>
      <c r="I13" s="5">
        <v>11.0</v>
      </c>
    </row>
    <row r="14">
      <c r="A14" s="11">
        <v>12.0</v>
      </c>
      <c r="B14" s="5" t="s">
        <v>27</v>
      </c>
      <c r="C14" s="5">
        <v>36427.0</v>
      </c>
      <c r="D14" s="5">
        <v>1.4</v>
      </c>
      <c r="E14" s="5">
        <v>11.5</v>
      </c>
      <c r="F14" s="5" t="s">
        <v>14</v>
      </c>
      <c r="G14" s="5" t="s">
        <v>15</v>
      </c>
      <c r="H14" s="5">
        <v>11.5</v>
      </c>
      <c r="I14" s="5">
        <v>11.0</v>
      </c>
    </row>
    <row r="15">
      <c r="A15" s="11">
        <v>13.0</v>
      </c>
      <c r="B15" s="5" t="s">
        <v>28</v>
      </c>
      <c r="C15" s="5">
        <v>30770.0</v>
      </c>
      <c r="D15" s="5">
        <v>1.2</v>
      </c>
      <c r="E15" s="5">
        <v>9.7</v>
      </c>
      <c r="F15" s="5" t="s">
        <v>14</v>
      </c>
      <c r="G15" s="5" t="s">
        <v>15</v>
      </c>
      <c r="H15" s="5">
        <v>9.7</v>
      </c>
      <c r="I15" s="5">
        <v>11.0</v>
      </c>
    </row>
    <row r="16">
      <c r="A16" s="11">
        <v>14.0</v>
      </c>
      <c r="B16" s="5" t="s">
        <v>29</v>
      </c>
      <c r="C16" s="5">
        <v>25196.0</v>
      </c>
      <c r="D16" s="5">
        <v>1.0</v>
      </c>
      <c r="E16" s="5">
        <v>8.0</v>
      </c>
      <c r="F16" s="5" t="s">
        <v>14</v>
      </c>
      <c r="G16" s="5" t="s">
        <v>15</v>
      </c>
      <c r="H16" s="5">
        <v>8.0</v>
      </c>
      <c r="I16" s="5">
        <v>11.0</v>
      </c>
    </row>
    <row r="17">
      <c r="A17" s="11">
        <v>15.0</v>
      </c>
      <c r="B17" s="5" t="s">
        <v>30</v>
      </c>
      <c r="C17" s="5">
        <v>18579.0</v>
      </c>
      <c r="D17" s="5">
        <v>0.7</v>
      </c>
      <c r="E17" s="5">
        <v>5.9</v>
      </c>
      <c r="F17" s="5" t="s">
        <v>14</v>
      </c>
      <c r="G17" s="5" t="s">
        <v>15</v>
      </c>
      <c r="H17" s="5">
        <v>5.9</v>
      </c>
      <c r="I17" s="5">
        <v>11.0</v>
      </c>
    </row>
    <row r="18">
      <c r="A18" s="7" t="s">
        <v>12</v>
      </c>
      <c r="B18" s="5" t="s">
        <v>31</v>
      </c>
      <c r="C18" s="5">
        <v>537554.0</v>
      </c>
      <c r="D18" s="5">
        <v>20.7</v>
      </c>
      <c r="E18" s="5">
        <v>170.0</v>
      </c>
      <c r="F18" s="5" t="s">
        <v>14</v>
      </c>
      <c r="G18" s="5" t="s">
        <v>15</v>
      </c>
      <c r="H18" s="5">
        <v>170.0</v>
      </c>
      <c r="I18" s="5">
        <v>11.0</v>
      </c>
    </row>
    <row r="19">
      <c r="A19" s="7" t="s">
        <v>12</v>
      </c>
      <c r="B19" s="5" t="s">
        <v>13</v>
      </c>
      <c r="C19" s="5">
        <v>4068.0</v>
      </c>
      <c r="D19" s="5">
        <v>100.0</v>
      </c>
      <c r="E19" s="5">
        <v>25.5</v>
      </c>
      <c r="F19" s="5" t="s">
        <v>14</v>
      </c>
      <c r="G19" s="15" t="s">
        <v>32</v>
      </c>
      <c r="H19" s="5">
        <v>25.5</v>
      </c>
      <c r="I19" s="5">
        <v>1.0</v>
      </c>
    </row>
    <row r="20">
      <c r="A20" s="11">
        <v>1.0</v>
      </c>
      <c r="B20" s="5" t="s">
        <v>19</v>
      </c>
      <c r="C20" s="16">
        <v>1316.0</v>
      </c>
      <c r="D20" s="5">
        <v>32.4</v>
      </c>
      <c r="E20" s="5">
        <v>8.3</v>
      </c>
      <c r="F20" s="5" t="s">
        <v>14</v>
      </c>
      <c r="G20" s="5" t="s">
        <v>32</v>
      </c>
      <c r="H20" s="17">
        <v>8.3</v>
      </c>
      <c r="I20" s="5">
        <v>1.0</v>
      </c>
    </row>
    <row r="21">
      <c r="A21" s="11">
        <v>2.0</v>
      </c>
      <c r="B21" s="5" t="s">
        <v>33</v>
      </c>
      <c r="C21" s="5">
        <v>476.0</v>
      </c>
      <c r="D21" s="5">
        <v>11.7</v>
      </c>
      <c r="E21" s="5">
        <v>3.0</v>
      </c>
      <c r="F21" s="5" t="s">
        <v>14</v>
      </c>
      <c r="G21" s="5" t="s">
        <v>32</v>
      </c>
      <c r="H21" s="18">
        <v>3.0</v>
      </c>
      <c r="I21" s="5">
        <v>1.0</v>
      </c>
    </row>
    <row r="22">
      <c r="A22" s="11">
        <v>3.0</v>
      </c>
      <c r="B22" s="5" t="s">
        <v>34</v>
      </c>
      <c r="C22" s="5">
        <v>337.0</v>
      </c>
      <c r="D22" s="5">
        <v>8.3</v>
      </c>
      <c r="E22" s="5">
        <v>2.1</v>
      </c>
      <c r="F22" s="5" t="s">
        <v>14</v>
      </c>
      <c r="G22" s="5" t="s">
        <v>32</v>
      </c>
      <c r="H22" s="18">
        <v>2.1</v>
      </c>
      <c r="I22" s="5">
        <v>1.0</v>
      </c>
    </row>
    <row r="23">
      <c r="A23" s="11">
        <v>4.0</v>
      </c>
      <c r="B23" s="5" t="s">
        <v>17</v>
      </c>
      <c r="C23" s="5">
        <v>328.0</v>
      </c>
      <c r="D23" s="5">
        <v>8.1</v>
      </c>
      <c r="E23" s="5">
        <v>2.1</v>
      </c>
      <c r="F23" s="5" t="s">
        <v>14</v>
      </c>
      <c r="G23" s="5" t="s">
        <v>32</v>
      </c>
      <c r="H23" s="18">
        <v>2.1</v>
      </c>
      <c r="I23" s="5">
        <v>1.0</v>
      </c>
    </row>
    <row r="24">
      <c r="A24" s="11">
        <v>5.0</v>
      </c>
      <c r="B24" s="5" t="s">
        <v>16</v>
      </c>
      <c r="C24" s="5">
        <v>169.0</v>
      </c>
      <c r="D24" s="5">
        <v>4.2</v>
      </c>
      <c r="E24" s="5">
        <v>1.1</v>
      </c>
      <c r="F24" s="5" t="s">
        <v>14</v>
      </c>
      <c r="G24" s="5" t="s">
        <v>32</v>
      </c>
      <c r="H24" s="18">
        <v>1.1</v>
      </c>
      <c r="I24" s="5">
        <v>1.0</v>
      </c>
    </row>
    <row r="25">
      <c r="A25" s="11">
        <v>6.0</v>
      </c>
      <c r="B25" s="5" t="s">
        <v>23</v>
      </c>
      <c r="C25" s="5">
        <v>102.0</v>
      </c>
      <c r="D25" s="5">
        <v>2.5</v>
      </c>
      <c r="E25" s="5">
        <v>0.6</v>
      </c>
      <c r="F25" s="5" t="s">
        <v>14</v>
      </c>
      <c r="G25" s="5" t="s">
        <v>32</v>
      </c>
      <c r="H25" s="18">
        <v>0.6</v>
      </c>
      <c r="I25" s="5">
        <v>1.0</v>
      </c>
    </row>
    <row r="26">
      <c r="A26" s="11">
        <v>7.0</v>
      </c>
      <c r="B26" s="5" t="s">
        <v>18</v>
      </c>
      <c r="C26" s="5">
        <v>64.0</v>
      </c>
      <c r="D26" s="5">
        <v>1.6</v>
      </c>
      <c r="E26" s="5">
        <v>0.4</v>
      </c>
      <c r="F26" s="5" t="s">
        <v>14</v>
      </c>
      <c r="G26" s="5" t="s">
        <v>32</v>
      </c>
      <c r="H26" s="18">
        <v>0.4</v>
      </c>
      <c r="I26" s="5">
        <v>1.0</v>
      </c>
    </row>
    <row r="27">
      <c r="A27" s="11">
        <v>8.0</v>
      </c>
      <c r="B27" s="5" t="s">
        <v>26</v>
      </c>
      <c r="C27" s="5">
        <v>53.0</v>
      </c>
      <c r="D27" s="5">
        <v>1.3</v>
      </c>
      <c r="E27" s="5">
        <v>0.3</v>
      </c>
      <c r="F27" s="5" t="s">
        <v>14</v>
      </c>
      <c r="G27" s="5" t="s">
        <v>32</v>
      </c>
      <c r="H27" s="18">
        <v>0.3</v>
      </c>
      <c r="I27" s="5">
        <v>1.0</v>
      </c>
    </row>
    <row r="28">
      <c r="A28" s="11">
        <v>9.0</v>
      </c>
      <c r="B28" s="5" t="s">
        <v>35</v>
      </c>
      <c r="C28" s="5">
        <v>47.0</v>
      </c>
      <c r="D28" s="5">
        <v>1.2</v>
      </c>
      <c r="E28" s="5">
        <v>0.3</v>
      </c>
      <c r="F28" s="5" t="s">
        <v>14</v>
      </c>
      <c r="G28" s="5" t="s">
        <v>32</v>
      </c>
      <c r="H28" s="18">
        <v>0.3</v>
      </c>
      <c r="I28" s="5">
        <v>1.0</v>
      </c>
    </row>
    <row r="29">
      <c r="A29" s="11">
        <v>10.0</v>
      </c>
      <c r="B29" s="5" t="s">
        <v>36</v>
      </c>
      <c r="C29" s="5">
        <v>45.0</v>
      </c>
      <c r="D29" s="5">
        <v>1.1</v>
      </c>
      <c r="E29" s="5">
        <v>0.3</v>
      </c>
      <c r="F29" s="5" t="s">
        <v>14</v>
      </c>
      <c r="G29" s="5" t="s">
        <v>32</v>
      </c>
      <c r="H29" s="18">
        <v>0.3</v>
      </c>
      <c r="I29" s="5">
        <v>1.0</v>
      </c>
    </row>
    <row r="30">
      <c r="A30" s="11">
        <v>11.0</v>
      </c>
      <c r="B30" s="5" t="s">
        <v>20</v>
      </c>
      <c r="C30" s="5">
        <v>38.0</v>
      </c>
      <c r="D30" s="5">
        <v>0.9</v>
      </c>
      <c r="E30" s="5">
        <v>0.2</v>
      </c>
      <c r="F30" s="5" t="s">
        <v>14</v>
      </c>
      <c r="G30" s="5" t="s">
        <v>32</v>
      </c>
      <c r="H30" s="18">
        <v>0.2</v>
      </c>
      <c r="I30" s="5">
        <v>1.0</v>
      </c>
    </row>
    <row r="31">
      <c r="A31" s="11">
        <v>12.0</v>
      </c>
      <c r="B31" s="5" t="s">
        <v>37</v>
      </c>
      <c r="C31" s="5">
        <v>23.0</v>
      </c>
      <c r="D31" s="5">
        <v>0.6</v>
      </c>
      <c r="E31" s="5">
        <v>0.1</v>
      </c>
      <c r="F31" s="5" t="s">
        <v>14</v>
      </c>
      <c r="G31" s="5" t="s">
        <v>32</v>
      </c>
      <c r="H31" s="18">
        <v>0.1</v>
      </c>
      <c r="I31" s="5">
        <v>1.0</v>
      </c>
    </row>
    <row r="32">
      <c r="A32" s="11">
        <v>13.0</v>
      </c>
      <c r="B32" s="5" t="s">
        <v>38</v>
      </c>
      <c r="C32" s="5">
        <v>20.0</v>
      </c>
      <c r="D32" s="5">
        <v>0.5</v>
      </c>
      <c r="E32" s="5">
        <v>0.1</v>
      </c>
      <c r="F32" s="5" t="s">
        <v>14</v>
      </c>
      <c r="G32" s="5" t="s">
        <v>32</v>
      </c>
      <c r="H32" s="18">
        <v>0.1</v>
      </c>
      <c r="I32" s="5">
        <v>1.0</v>
      </c>
    </row>
    <row r="33">
      <c r="A33" s="11">
        <v>14.0</v>
      </c>
      <c r="B33" s="5" t="s">
        <v>39</v>
      </c>
      <c r="C33" s="5">
        <v>15.0</v>
      </c>
      <c r="D33" s="5">
        <v>0.4</v>
      </c>
      <c r="F33" s="5" t="s">
        <v>14</v>
      </c>
      <c r="G33" s="5" t="s">
        <v>32</v>
      </c>
      <c r="H33" s="18">
        <v>0.0</v>
      </c>
      <c r="I33" s="5">
        <v>1.0</v>
      </c>
    </row>
    <row r="34">
      <c r="A34" s="11">
        <v>15.0</v>
      </c>
      <c r="B34" s="5" t="s">
        <v>40</v>
      </c>
      <c r="C34" s="5">
        <v>14.0</v>
      </c>
      <c r="D34" s="5">
        <v>0.3</v>
      </c>
      <c r="F34" s="5" t="s">
        <v>14</v>
      </c>
      <c r="G34" s="5" t="s">
        <v>32</v>
      </c>
      <c r="H34" s="18">
        <v>0.0</v>
      </c>
      <c r="I34" s="5">
        <v>1.0</v>
      </c>
    </row>
    <row r="35">
      <c r="A35" s="7" t="s">
        <v>12</v>
      </c>
      <c r="B35" s="5" t="s">
        <v>31</v>
      </c>
      <c r="C35" s="5">
        <v>1021.0</v>
      </c>
      <c r="D35" s="5">
        <v>25.1</v>
      </c>
      <c r="E35" s="5">
        <v>6.4</v>
      </c>
      <c r="F35" s="5" t="s">
        <v>14</v>
      </c>
      <c r="G35" s="5" t="s">
        <v>32</v>
      </c>
      <c r="H35" s="5">
        <v>6.4</v>
      </c>
      <c r="I35" s="5">
        <v>1.0</v>
      </c>
    </row>
    <row r="36">
      <c r="A36" s="7" t="s">
        <v>12</v>
      </c>
      <c r="B36" s="5" t="s">
        <v>13</v>
      </c>
      <c r="C36" s="5">
        <v>5340.0</v>
      </c>
      <c r="D36" s="5">
        <v>100.0</v>
      </c>
      <c r="E36" s="5">
        <v>13.0</v>
      </c>
      <c r="F36" s="5" t="s">
        <v>14</v>
      </c>
      <c r="G36" s="15" t="s">
        <v>41</v>
      </c>
      <c r="H36" s="5">
        <v>13.0</v>
      </c>
      <c r="I36" s="5">
        <v>2.0</v>
      </c>
    </row>
    <row r="37">
      <c r="A37" s="11">
        <v>1.0</v>
      </c>
      <c r="B37" s="5" t="s">
        <v>19</v>
      </c>
      <c r="C37" s="5">
        <v>1521.0</v>
      </c>
      <c r="D37" s="5">
        <v>28.5</v>
      </c>
      <c r="E37" s="5">
        <v>3.7</v>
      </c>
      <c r="F37" s="5" t="s">
        <v>14</v>
      </c>
      <c r="G37" s="5" t="s">
        <v>41</v>
      </c>
      <c r="H37" s="5">
        <v>3.7</v>
      </c>
      <c r="I37" s="5">
        <v>2.0</v>
      </c>
    </row>
    <row r="38">
      <c r="A38" s="11">
        <v>2.0</v>
      </c>
      <c r="B38" s="5" t="s">
        <v>17</v>
      </c>
      <c r="C38" s="5">
        <v>895.0</v>
      </c>
      <c r="D38" s="5">
        <v>16.8</v>
      </c>
      <c r="E38" s="5">
        <v>2.2</v>
      </c>
      <c r="F38" s="5" t="s">
        <v>14</v>
      </c>
      <c r="G38" s="5" t="s">
        <v>41</v>
      </c>
      <c r="H38" s="5">
        <v>2.2</v>
      </c>
      <c r="I38" s="5">
        <v>2.0</v>
      </c>
    </row>
    <row r="39">
      <c r="A39" s="11">
        <v>3.0</v>
      </c>
      <c r="B39" s="5" t="s">
        <v>25</v>
      </c>
      <c r="C39" s="5">
        <v>395.0</v>
      </c>
      <c r="D39" s="5">
        <v>7.4</v>
      </c>
      <c r="E39" s="5">
        <v>1.0</v>
      </c>
      <c r="F39" s="5" t="s">
        <v>14</v>
      </c>
      <c r="G39" s="5" t="s">
        <v>41</v>
      </c>
      <c r="H39" s="5">
        <v>1.0</v>
      </c>
      <c r="I39" s="5">
        <v>2.0</v>
      </c>
    </row>
    <row r="40">
      <c r="A40" s="11">
        <v>4.0</v>
      </c>
      <c r="B40" s="5" t="s">
        <v>33</v>
      </c>
      <c r="C40" s="5">
        <v>340.0</v>
      </c>
      <c r="D40" s="5">
        <v>6.4</v>
      </c>
      <c r="E40" s="5">
        <v>0.8</v>
      </c>
      <c r="F40" s="5" t="s">
        <v>14</v>
      </c>
      <c r="G40" s="5" t="s">
        <v>41</v>
      </c>
      <c r="H40" s="5">
        <v>0.8</v>
      </c>
      <c r="I40" s="5">
        <v>2.0</v>
      </c>
    </row>
    <row r="41">
      <c r="A41" s="11">
        <v>5.0</v>
      </c>
      <c r="B41" s="5" t="s">
        <v>34</v>
      </c>
      <c r="C41" s="5">
        <v>277.0</v>
      </c>
      <c r="D41" s="5">
        <v>5.2</v>
      </c>
      <c r="E41" s="5">
        <v>0.7</v>
      </c>
      <c r="F41" s="5" t="s">
        <v>14</v>
      </c>
      <c r="G41" s="5" t="s">
        <v>41</v>
      </c>
      <c r="H41" s="5">
        <v>0.7</v>
      </c>
      <c r="I41" s="5">
        <v>2.0</v>
      </c>
    </row>
    <row r="42">
      <c r="A42" s="11">
        <v>6.0</v>
      </c>
      <c r="B42" s="5" t="s">
        <v>16</v>
      </c>
      <c r="C42" s="5">
        <v>173.0</v>
      </c>
      <c r="D42" s="5">
        <v>3.2</v>
      </c>
      <c r="E42" s="5">
        <v>0.4</v>
      </c>
      <c r="F42" s="5" t="s">
        <v>14</v>
      </c>
      <c r="G42" s="5" t="s">
        <v>41</v>
      </c>
      <c r="H42" s="5">
        <v>0.4</v>
      </c>
      <c r="I42" s="5">
        <v>2.0</v>
      </c>
    </row>
    <row r="43">
      <c r="A43" s="11">
        <v>7.0</v>
      </c>
      <c r="B43" s="5" t="s">
        <v>18</v>
      </c>
      <c r="C43" s="5">
        <v>155.0</v>
      </c>
      <c r="D43" s="5">
        <v>2.9</v>
      </c>
      <c r="E43" s="5">
        <v>0.4</v>
      </c>
      <c r="F43" s="5" t="s">
        <v>14</v>
      </c>
      <c r="G43" s="5" t="s">
        <v>41</v>
      </c>
      <c r="H43" s="5">
        <v>0.4</v>
      </c>
      <c r="I43" s="5">
        <v>2.0</v>
      </c>
    </row>
    <row r="44">
      <c r="A44" s="11">
        <v>8.0</v>
      </c>
      <c r="B44" s="5" t="s">
        <v>23</v>
      </c>
      <c r="C44" s="5">
        <v>128.0</v>
      </c>
      <c r="D44" s="5">
        <v>2.4</v>
      </c>
      <c r="E44" s="5">
        <v>0.3</v>
      </c>
      <c r="F44" s="5" t="s">
        <v>14</v>
      </c>
      <c r="G44" s="5" t="s">
        <v>41</v>
      </c>
      <c r="H44" s="5">
        <v>0.3</v>
      </c>
      <c r="I44" s="5">
        <v>2.0</v>
      </c>
    </row>
    <row r="45">
      <c r="A45" s="11">
        <v>9.0</v>
      </c>
      <c r="B45" s="5" t="s">
        <v>20</v>
      </c>
      <c r="C45" s="5">
        <v>89.0</v>
      </c>
      <c r="D45" s="5">
        <v>1.7</v>
      </c>
      <c r="E45" s="5">
        <v>0.2</v>
      </c>
      <c r="F45" s="5" t="s">
        <v>14</v>
      </c>
      <c r="G45" s="5" t="s">
        <v>41</v>
      </c>
      <c r="H45" s="5">
        <v>0.2</v>
      </c>
      <c r="I45" s="5">
        <v>2.0</v>
      </c>
    </row>
    <row r="46">
      <c r="A46" s="11">
        <v>10.0</v>
      </c>
      <c r="B46" s="5" t="s">
        <v>35</v>
      </c>
      <c r="C46" s="5">
        <v>65.0</v>
      </c>
      <c r="D46" s="5">
        <v>1.2</v>
      </c>
      <c r="E46" s="5">
        <v>0.2</v>
      </c>
      <c r="F46" s="5" t="s">
        <v>14</v>
      </c>
      <c r="G46" s="5" t="s">
        <v>41</v>
      </c>
      <c r="H46" s="5">
        <v>0.2</v>
      </c>
      <c r="I46" s="5">
        <v>2.0</v>
      </c>
    </row>
    <row r="47">
      <c r="A47" s="11">
        <v>11.0</v>
      </c>
      <c r="B47" s="5" t="s">
        <v>26</v>
      </c>
      <c r="C47" s="5">
        <v>55.0</v>
      </c>
      <c r="D47" s="5">
        <v>1.0</v>
      </c>
      <c r="E47" s="5">
        <v>0.1</v>
      </c>
      <c r="F47" s="5" t="s">
        <v>14</v>
      </c>
      <c r="G47" s="5" t="s">
        <v>41</v>
      </c>
      <c r="H47" s="5">
        <v>0.1</v>
      </c>
      <c r="I47" s="5">
        <v>2.0</v>
      </c>
    </row>
    <row r="48">
      <c r="A48" s="11">
        <v>12.0</v>
      </c>
      <c r="B48" s="5" t="s">
        <v>36</v>
      </c>
      <c r="C48" s="5">
        <v>33.0</v>
      </c>
      <c r="D48" s="5">
        <v>0.6</v>
      </c>
      <c r="E48" s="5">
        <v>0.1</v>
      </c>
      <c r="F48" s="5" t="s">
        <v>14</v>
      </c>
      <c r="G48" s="5" t="s">
        <v>41</v>
      </c>
      <c r="H48" s="5">
        <v>0.1</v>
      </c>
      <c r="I48" s="5">
        <v>2.0</v>
      </c>
    </row>
    <row r="49">
      <c r="A49" s="11">
        <v>13.0</v>
      </c>
      <c r="B49" s="5" t="s">
        <v>39</v>
      </c>
      <c r="C49" s="5">
        <v>26.0</v>
      </c>
      <c r="D49" s="5">
        <v>0.5</v>
      </c>
      <c r="E49" s="5">
        <v>0.1</v>
      </c>
      <c r="F49" s="5" t="s">
        <v>14</v>
      </c>
      <c r="G49" s="5" t="s">
        <v>41</v>
      </c>
      <c r="H49" s="5">
        <v>0.1</v>
      </c>
      <c r="I49" s="5">
        <v>2.0</v>
      </c>
    </row>
    <row r="50">
      <c r="A50" s="11">
        <v>14.0</v>
      </c>
      <c r="B50" s="5" t="s">
        <v>22</v>
      </c>
      <c r="C50" s="5">
        <v>24.0</v>
      </c>
      <c r="D50" s="5">
        <v>0.4</v>
      </c>
      <c r="E50" s="5">
        <v>0.1</v>
      </c>
      <c r="F50" s="5" t="s">
        <v>14</v>
      </c>
      <c r="G50" s="5" t="s">
        <v>41</v>
      </c>
      <c r="H50" s="5">
        <v>0.1</v>
      </c>
      <c r="I50" s="5">
        <v>2.0</v>
      </c>
    </row>
    <row r="51">
      <c r="A51" s="11">
        <v>15.0</v>
      </c>
      <c r="B51" s="5" t="s">
        <v>38</v>
      </c>
      <c r="C51" s="5">
        <v>17.0</v>
      </c>
      <c r="D51" s="5">
        <v>0.3</v>
      </c>
      <c r="F51" s="5" t="s">
        <v>14</v>
      </c>
      <c r="G51" s="5" t="s">
        <v>41</v>
      </c>
      <c r="H51" s="5">
        <v>0.0</v>
      </c>
      <c r="I51" s="5">
        <v>2.0</v>
      </c>
    </row>
    <row r="52">
      <c r="A52" s="7" t="s">
        <v>12</v>
      </c>
      <c r="B52" s="5" t="s">
        <v>31</v>
      </c>
      <c r="C52" s="5">
        <v>1147.0</v>
      </c>
      <c r="D52" s="5">
        <v>21.5</v>
      </c>
      <c r="E52" s="5">
        <v>2.8</v>
      </c>
      <c r="F52" s="5" t="s">
        <v>14</v>
      </c>
      <c r="G52" s="5" t="s">
        <v>41</v>
      </c>
      <c r="H52" s="5">
        <v>2.8</v>
      </c>
      <c r="I52" s="5">
        <v>2.0</v>
      </c>
    </row>
    <row r="53">
      <c r="A53" s="7" t="s">
        <v>12</v>
      </c>
      <c r="B53" s="5" t="s">
        <v>13</v>
      </c>
      <c r="C53" s="5">
        <v>28486.0</v>
      </c>
      <c r="D53" s="5">
        <v>100.0</v>
      </c>
      <c r="E53" s="5">
        <v>64.8</v>
      </c>
      <c r="F53" s="5" t="s">
        <v>14</v>
      </c>
      <c r="G53" s="5" t="s">
        <v>42</v>
      </c>
      <c r="H53" s="5">
        <v>64.8</v>
      </c>
      <c r="I53" s="5">
        <v>3.0</v>
      </c>
    </row>
    <row r="54">
      <c r="A54" s="11">
        <v>1.0</v>
      </c>
      <c r="B54" s="5" t="s">
        <v>19</v>
      </c>
      <c r="C54" s="5">
        <v>11619.0</v>
      </c>
      <c r="D54" s="5">
        <v>40.8</v>
      </c>
      <c r="E54" s="5">
        <v>26.4</v>
      </c>
      <c r="F54" s="5" t="s">
        <v>14</v>
      </c>
      <c r="G54" s="5" t="s">
        <v>42</v>
      </c>
      <c r="H54" s="5">
        <v>26.4</v>
      </c>
      <c r="I54" s="5">
        <v>3.0</v>
      </c>
    </row>
    <row r="55">
      <c r="A55" s="11">
        <v>2.0</v>
      </c>
      <c r="B55" s="5" t="s">
        <v>25</v>
      </c>
      <c r="C55" s="5">
        <v>4878.0</v>
      </c>
      <c r="D55" s="5">
        <v>17.1</v>
      </c>
      <c r="E55" s="5">
        <v>11.1</v>
      </c>
      <c r="F55" s="5" t="s">
        <v>14</v>
      </c>
      <c r="G55" s="5" t="s">
        <v>42</v>
      </c>
      <c r="H55" s="5">
        <v>11.1</v>
      </c>
      <c r="I55" s="5">
        <v>3.0</v>
      </c>
    </row>
    <row r="56">
      <c r="A56" s="11">
        <v>3.0</v>
      </c>
      <c r="B56" s="5" t="s">
        <v>34</v>
      </c>
      <c r="C56" s="5">
        <v>4329.0</v>
      </c>
      <c r="D56" s="5">
        <v>15.2</v>
      </c>
      <c r="E56" s="5">
        <v>9.8</v>
      </c>
      <c r="F56" s="5" t="s">
        <v>14</v>
      </c>
      <c r="G56" s="5" t="s">
        <v>42</v>
      </c>
      <c r="H56" s="5">
        <v>9.8</v>
      </c>
      <c r="I56" s="5">
        <v>3.0</v>
      </c>
    </row>
    <row r="57">
      <c r="A57" s="11">
        <v>4.0</v>
      </c>
      <c r="B57" s="5" t="s">
        <v>17</v>
      </c>
      <c r="C57" s="5">
        <v>1496.0</v>
      </c>
      <c r="D57" s="5">
        <v>5.3</v>
      </c>
      <c r="E57" s="5">
        <v>3.4</v>
      </c>
      <c r="F57" s="5" t="s">
        <v>14</v>
      </c>
      <c r="G57" s="5" t="s">
        <v>42</v>
      </c>
      <c r="H57" s="5">
        <v>3.4</v>
      </c>
      <c r="I57" s="5">
        <v>3.0</v>
      </c>
    </row>
    <row r="58">
      <c r="A58" s="11">
        <v>5.0</v>
      </c>
      <c r="B58" s="5" t="s">
        <v>16</v>
      </c>
      <c r="C58" s="5">
        <v>941.0</v>
      </c>
      <c r="D58" s="5">
        <v>3.3</v>
      </c>
      <c r="E58" s="5">
        <v>2.1</v>
      </c>
      <c r="F58" s="5" t="s">
        <v>14</v>
      </c>
      <c r="G58" s="5" t="s">
        <v>42</v>
      </c>
      <c r="H58" s="5">
        <v>2.1</v>
      </c>
      <c r="I58" s="5">
        <v>3.0</v>
      </c>
    </row>
    <row r="59">
      <c r="A59" s="11">
        <v>6.0</v>
      </c>
      <c r="B59" s="5" t="s">
        <v>33</v>
      </c>
      <c r="C59" s="5">
        <v>362.0</v>
      </c>
      <c r="D59" s="5">
        <v>1.3</v>
      </c>
      <c r="E59" s="5">
        <v>0.8</v>
      </c>
      <c r="F59" s="5" t="s">
        <v>14</v>
      </c>
      <c r="G59" s="5" t="s">
        <v>42</v>
      </c>
      <c r="H59" s="5">
        <v>0.8</v>
      </c>
      <c r="I59" s="5">
        <v>3.0</v>
      </c>
    </row>
    <row r="60">
      <c r="A60" s="11">
        <v>7.0</v>
      </c>
      <c r="B60" s="5" t="s">
        <v>23</v>
      </c>
      <c r="C60" s="5">
        <v>197.0</v>
      </c>
      <c r="D60" s="5">
        <v>0.7</v>
      </c>
      <c r="E60" s="5">
        <v>0.4</v>
      </c>
      <c r="F60" s="5" t="s">
        <v>14</v>
      </c>
      <c r="G60" s="5" t="s">
        <v>42</v>
      </c>
      <c r="H60" s="5">
        <v>0.4</v>
      </c>
      <c r="I60" s="5">
        <v>3.0</v>
      </c>
    </row>
    <row r="61">
      <c r="A61" s="11">
        <v>8.0</v>
      </c>
      <c r="B61" s="5" t="s">
        <v>22</v>
      </c>
      <c r="C61" s="5">
        <v>193.0</v>
      </c>
      <c r="D61" s="5">
        <v>0.7</v>
      </c>
      <c r="E61" s="5">
        <v>0.4</v>
      </c>
      <c r="F61" s="5" t="s">
        <v>14</v>
      </c>
      <c r="G61" s="5" t="s">
        <v>42</v>
      </c>
      <c r="H61" s="5">
        <v>0.4</v>
      </c>
      <c r="I61" s="5">
        <v>3.0</v>
      </c>
    </row>
    <row r="62">
      <c r="A62" s="11">
        <v>9.0</v>
      </c>
      <c r="B62" s="5" t="s">
        <v>43</v>
      </c>
      <c r="C62" s="5">
        <v>178.0</v>
      </c>
      <c r="D62" s="5">
        <v>0.6</v>
      </c>
      <c r="E62" s="5">
        <v>0.4</v>
      </c>
      <c r="F62" s="5" t="s">
        <v>14</v>
      </c>
      <c r="G62" s="5" t="s">
        <v>42</v>
      </c>
      <c r="H62" s="5">
        <v>0.4</v>
      </c>
      <c r="I62" s="5">
        <v>3.0</v>
      </c>
    </row>
    <row r="63">
      <c r="A63" s="11">
        <v>10.0</v>
      </c>
      <c r="B63" s="5" t="s">
        <v>18</v>
      </c>
      <c r="C63" s="5">
        <v>155.0</v>
      </c>
      <c r="D63" s="5">
        <v>0.5</v>
      </c>
      <c r="E63" s="5">
        <v>0.4</v>
      </c>
      <c r="F63" s="5" t="s">
        <v>14</v>
      </c>
      <c r="G63" s="5" t="s">
        <v>42</v>
      </c>
      <c r="H63" s="5">
        <v>0.4</v>
      </c>
      <c r="I63" s="5">
        <v>3.0</v>
      </c>
    </row>
    <row r="64">
      <c r="A64" s="11">
        <v>11.0</v>
      </c>
      <c r="B64" s="5" t="s">
        <v>20</v>
      </c>
      <c r="C64" s="5">
        <v>153.0</v>
      </c>
      <c r="D64" s="5">
        <v>0.5</v>
      </c>
      <c r="E64" s="5">
        <v>0.3</v>
      </c>
      <c r="F64" s="5" t="s">
        <v>14</v>
      </c>
      <c r="G64" s="5" t="s">
        <v>42</v>
      </c>
      <c r="H64" s="5">
        <v>0.3</v>
      </c>
      <c r="I64" s="5">
        <v>3.0</v>
      </c>
    </row>
    <row r="65">
      <c r="A65" s="11">
        <v>12.0</v>
      </c>
      <c r="B65" s="5" t="s">
        <v>26</v>
      </c>
      <c r="C65" s="5">
        <v>138.0</v>
      </c>
      <c r="D65" s="5">
        <v>0.5</v>
      </c>
      <c r="E65" s="5">
        <v>0.3</v>
      </c>
      <c r="F65" s="5" t="s">
        <v>14</v>
      </c>
      <c r="G65" s="5" t="s">
        <v>42</v>
      </c>
      <c r="H65" s="5">
        <v>0.3</v>
      </c>
      <c r="I65" s="5">
        <v>3.0</v>
      </c>
    </row>
    <row r="66">
      <c r="A66" s="11">
        <v>13.0</v>
      </c>
      <c r="B66" s="5" t="s">
        <v>44</v>
      </c>
      <c r="C66" s="5">
        <v>109.0</v>
      </c>
      <c r="D66" s="5">
        <v>0.4</v>
      </c>
      <c r="E66" s="5">
        <v>0.2</v>
      </c>
      <c r="F66" s="5" t="s">
        <v>14</v>
      </c>
      <c r="G66" s="5" t="s">
        <v>42</v>
      </c>
      <c r="H66" s="5">
        <v>0.2</v>
      </c>
      <c r="I66" s="5">
        <v>3.0</v>
      </c>
    </row>
    <row r="67">
      <c r="A67" s="11">
        <v>14.0</v>
      </c>
      <c r="B67" s="5" t="s">
        <v>45</v>
      </c>
      <c r="C67" s="5">
        <v>99.0</v>
      </c>
      <c r="D67" s="5">
        <v>0.3</v>
      </c>
      <c r="E67" s="5">
        <v>0.2</v>
      </c>
      <c r="F67" s="5" t="s">
        <v>14</v>
      </c>
      <c r="G67" s="5" t="s">
        <v>42</v>
      </c>
      <c r="H67" s="5">
        <v>0.2</v>
      </c>
      <c r="I67" s="5">
        <v>3.0</v>
      </c>
    </row>
    <row r="68">
      <c r="A68" s="11">
        <v>15.0</v>
      </c>
      <c r="B68" s="5" t="s">
        <v>38</v>
      </c>
      <c r="C68" s="5">
        <v>93.0</v>
      </c>
      <c r="D68" s="5">
        <v>0.3</v>
      </c>
      <c r="E68" s="5">
        <v>0.2</v>
      </c>
      <c r="F68" s="5" t="s">
        <v>14</v>
      </c>
      <c r="G68" s="5" t="s">
        <v>42</v>
      </c>
      <c r="H68" s="5">
        <v>0.2</v>
      </c>
      <c r="I68" s="5">
        <v>3.0</v>
      </c>
    </row>
    <row r="69">
      <c r="A69" s="7" t="s">
        <v>12</v>
      </c>
      <c r="B69" s="5" t="s">
        <v>31</v>
      </c>
      <c r="C69" s="5">
        <v>3546.0</v>
      </c>
      <c r="D69" s="5">
        <v>12.4</v>
      </c>
      <c r="E69" s="5">
        <v>8.1</v>
      </c>
      <c r="F69" s="5" t="s">
        <v>14</v>
      </c>
      <c r="G69" s="5" t="s">
        <v>42</v>
      </c>
      <c r="H69" s="5">
        <v>8.1</v>
      </c>
      <c r="I69" s="5">
        <v>3.0</v>
      </c>
    </row>
    <row r="70">
      <c r="A70" s="7" t="s">
        <v>12</v>
      </c>
      <c r="B70" s="5" t="s">
        <v>13</v>
      </c>
      <c r="C70" s="5">
        <v>45463.0</v>
      </c>
      <c r="D70" s="5">
        <v>100.0</v>
      </c>
      <c r="E70" s="5">
        <v>106.1</v>
      </c>
      <c r="F70" s="5" t="s">
        <v>14</v>
      </c>
      <c r="G70" s="5" t="s">
        <v>46</v>
      </c>
      <c r="H70" s="5">
        <v>106.1</v>
      </c>
      <c r="I70" s="5">
        <v>4.0</v>
      </c>
    </row>
    <row r="71">
      <c r="A71" s="11">
        <v>1.0</v>
      </c>
      <c r="B71" s="5" t="s">
        <v>19</v>
      </c>
      <c r="C71" s="5">
        <v>16209.0</v>
      </c>
      <c r="D71" s="5">
        <v>35.7</v>
      </c>
      <c r="E71" s="5">
        <v>37.8</v>
      </c>
      <c r="F71" s="5" t="s">
        <v>14</v>
      </c>
      <c r="G71" s="5" t="s">
        <v>46</v>
      </c>
      <c r="H71" s="5">
        <v>37.8</v>
      </c>
      <c r="I71" s="5">
        <v>4.0</v>
      </c>
    </row>
    <row r="72">
      <c r="A72" s="11">
        <v>2.0</v>
      </c>
      <c r="B72" s="5" t="s">
        <v>25</v>
      </c>
      <c r="C72" s="5">
        <v>6348.0</v>
      </c>
      <c r="D72" s="5">
        <v>14.0</v>
      </c>
      <c r="E72" s="5">
        <v>14.8</v>
      </c>
      <c r="F72" s="5" t="s">
        <v>14</v>
      </c>
      <c r="G72" s="5" t="s">
        <v>46</v>
      </c>
      <c r="H72" s="5">
        <v>14.8</v>
      </c>
      <c r="I72" s="5">
        <v>4.0</v>
      </c>
    </row>
    <row r="73">
      <c r="A73" s="11">
        <v>3.0</v>
      </c>
      <c r="B73" s="5" t="s">
        <v>34</v>
      </c>
      <c r="C73" s="5">
        <v>4236.0</v>
      </c>
      <c r="D73" s="5">
        <v>9.3</v>
      </c>
      <c r="E73" s="5">
        <v>9.9</v>
      </c>
      <c r="F73" s="5" t="s">
        <v>14</v>
      </c>
      <c r="G73" s="5" t="s">
        <v>46</v>
      </c>
      <c r="H73" s="5">
        <v>9.9</v>
      </c>
      <c r="I73" s="5">
        <v>4.0</v>
      </c>
    </row>
    <row r="74">
      <c r="A74" s="11">
        <v>4.0</v>
      </c>
      <c r="B74" s="5" t="s">
        <v>17</v>
      </c>
      <c r="C74" s="5">
        <v>3673.0</v>
      </c>
      <c r="D74" s="5">
        <v>8.1</v>
      </c>
      <c r="E74" s="5">
        <v>8.6</v>
      </c>
      <c r="F74" s="5" t="s">
        <v>14</v>
      </c>
      <c r="G74" s="5" t="s">
        <v>46</v>
      </c>
      <c r="H74" s="5">
        <v>8.6</v>
      </c>
      <c r="I74" s="5">
        <v>4.0</v>
      </c>
    </row>
    <row r="75">
      <c r="A75" s="11">
        <v>5.0</v>
      </c>
      <c r="B75" s="5" t="s">
        <v>16</v>
      </c>
      <c r="C75" s="5">
        <v>3258.0</v>
      </c>
      <c r="D75" s="5">
        <v>7.2</v>
      </c>
      <c r="E75" s="5">
        <v>7.6</v>
      </c>
      <c r="F75" s="5" t="s">
        <v>14</v>
      </c>
      <c r="G75" s="5" t="s">
        <v>46</v>
      </c>
      <c r="H75" s="5">
        <v>7.6</v>
      </c>
      <c r="I75" s="5">
        <v>4.0</v>
      </c>
    </row>
    <row r="76">
      <c r="A76" s="11">
        <v>6.0</v>
      </c>
      <c r="B76" s="5" t="s">
        <v>22</v>
      </c>
      <c r="C76" s="5">
        <v>684.0</v>
      </c>
      <c r="D76" s="5">
        <v>1.5</v>
      </c>
      <c r="E76" s="5">
        <v>1.6</v>
      </c>
      <c r="F76" s="5" t="s">
        <v>14</v>
      </c>
      <c r="G76" s="5" t="s">
        <v>46</v>
      </c>
      <c r="H76" s="5">
        <v>1.6</v>
      </c>
      <c r="I76" s="5">
        <v>4.0</v>
      </c>
    </row>
    <row r="77">
      <c r="A77" s="11">
        <v>7.0</v>
      </c>
      <c r="B77" s="5" t="s">
        <v>27</v>
      </c>
      <c r="C77" s="5">
        <v>676.0</v>
      </c>
      <c r="D77" s="5">
        <v>1.5</v>
      </c>
      <c r="E77" s="5">
        <v>1.6</v>
      </c>
      <c r="F77" s="5" t="s">
        <v>14</v>
      </c>
      <c r="G77" s="5" t="s">
        <v>46</v>
      </c>
      <c r="H77" s="5">
        <v>1.6</v>
      </c>
      <c r="I77" s="5">
        <v>4.0</v>
      </c>
    </row>
    <row r="78">
      <c r="A78" s="11">
        <v>8.0</v>
      </c>
      <c r="B78" s="5" t="s">
        <v>44</v>
      </c>
      <c r="C78" s="5">
        <v>631.0</v>
      </c>
      <c r="D78" s="5">
        <v>1.4</v>
      </c>
      <c r="E78" s="5">
        <v>1.5</v>
      </c>
      <c r="F78" s="5" t="s">
        <v>14</v>
      </c>
      <c r="G78" s="5" t="s">
        <v>46</v>
      </c>
      <c r="H78" s="5">
        <v>1.5</v>
      </c>
      <c r="I78" s="5">
        <v>4.0</v>
      </c>
    </row>
    <row r="79">
      <c r="A79" s="11">
        <v>9.0</v>
      </c>
      <c r="B79" s="5" t="s">
        <v>20</v>
      </c>
      <c r="C79" s="5">
        <v>508.0</v>
      </c>
      <c r="D79" s="5">
        <v>1.1</v>
      </c>
      <c r="E79" s="5">
        <v>1.2</v>
      </c>
      <c r="F79" s="5" t="s">
        <v>14</v>
      </c>
      <c r="G79" s="5" t="s">
        <v>46</v>
      </c>
      <c r="H79" s="5">
        <v>1.2</v>
      </c>
      <c r="I79" s="5">
        <v>4.0</v>
      </c>
    </row>
    <row r="80">
      <c r="A80" s="11">
        <v>10.0</v>
      </c>
      <c r="B80" s="5" t="s">
        <v>23</v>
      </c>
      <c r="C80" s="5">
        <v>449.0</v>
      </c>
      <c r="D80" s="5">
        <v>1.0</v>
      </c>
      <c r="E80" s="5">
        <v>1.0</v>
      </c>
      <c r="F80" s="5" t="s">
        <v>14</v>
      </c>
      <c r="G80" s="5" t="s">
        <v>46</v>
      </c>
      <c r="H80" s="5">
        <v>1.0</v>
      </c>
      <c r="I80" s="5">
        <v>4.0</v>
      </c>
    </row>
    <row r="81">
      <c r="A81" s="11">
        <v>11.0</v>
      </c>
      <c r="B81" s="5" t="s">
        <v>43</v>
      </c>
      <c r="C81" s="5">
        <v>441.0</v>
      </c>
      <c r="D81" s="5">
        <v>1.0</v>
      </c>
      <c r="E81" s="5">
        <v>1.0</v>
      </c>
      <c r="F81" s="5" t="s">
        <v>14</v>
      </c>
      <c r="G81" s="5" t="s">
        <v>46</v>
      </c>
      <c r="H81" s="5">
        <v>1.0</v>
      </c>
      <c r="I81" s="5">
        <v>4.0</v>
      </c>
    </row>
    <row r="82">
      <c r="A82" s="11">
        <v>12.0</v>
      </c>
      <c r="B82" s="5" t="s">
        <v>33</v>
      </c>
      <c r="C82" s="5">
        <v>423.0</v>
      </c>
      <c r="D82" s="5">
        <v>0.9</v>
      </c>
      <c r="E82" s="5">
        <v>1.0</v>
      </c>
      <c r="F82" s="5" t="s">
        <v>14</v>
      </c>
      <c r="G82" s="5" t="s">
        <v>46</v>
      </c>
      <c r="H82" s="5">
        <v>1.0</v>
      </c>
      <c r="I82" s="5">
        <v>4.0</v>
      </c>
    </row>
    <row r="83">
      <c r="A83" s="11">
        <v>13.0</v>
      </c>
      <c r="B83" s="5" t="s">
        <v>26</v>
      </c>
      <c r="C83" s="5">
        <v>333.0</v>
      </c>
      <c r="D83" s="5">
        <v>0.7</v>
      </c>
      <c r="E83" s="5">
        <v>0.8</v>
      </c>
      <c r="F83" s="5" t="s">
        <v>14</v>
      </c>
      <c r="G83" s="5" t="s">
        <v>46</v>
      </c>
      <c r="H83" s="5">
        <v>0.8</v>
      </c>
      <c r="I83" s="5">
        <v>4.0</v>
      </c>
    </row>
    <row r="84">
      <c r="A84" s="11">
        <v>14.0</v>
      </c>
      <c r="B84" s="5" t="s">
        <v>18</v>
      </c>
      <c r="C84" s="5">
        <v>291.0</v>
      </c>
      <c r="D84" s="5">
        <v>0.6</v>
      </c>
      <c r="E84" s="5">
        <v>0.7</v>
      </c>
      <c r="F84" s="5" t="s">
        <v>14</v>
      </c>
      <c r="G84" s="5" t="s">
        <v>46</v>
      </c>
      <c r="H84" s="5">
        <v>0.7</v>
      </c>
      <c r="I84" s="5">
        <v>4.0</v>
      </c>
    </row>
    <row r="85">
      <c r="A85" s="11">
        <v>15.0</v>
      </c>
      <c r="B85" s="5" t="s">
        <v>24</v>
      </c>
      <c r="C85" s="5">
        <v>266.0</v>
      </c>
      <c r="D85" s="5">
        <v>0.6</v>
      </c>
      <c r="E85" s="5">
        <v>0.6</v>
      </c>
      <c r="F85" s="5" t="s">
        <v>14</v>
      </c>
      <c r="G85" s="5" t="s">
        <v>46</v>
      </c>
      <c r="H85" s="5">
        <v>0.6</v>
      </c>
      <c r="I85" s="5">
        <v>4.0</v>
      </c>
    </row>
    <row r="86">
      <c r="A86" s="7" t="s">
        <v>12</v>
      </c>
      <c r="B86" s="5" t="s">
        <v>31</v>
      </c>
      <c r="C86" s="5">
        <v>7037.0</v>
      </c>
      <c r="D86" s="5">
        <v>15.5</v>
      </c>
      <c r="E86" s="5">
        <v>16.4</v>
      </c>
      <c r="F86" s="5" t="s">
        <v>14</v>
      </c>
      <c r="G86" s="5" t="s">
        <v>46</v>
      </c>
      <c r="H86" s="5">
        <v>16.4</v>
      </c>
      <c r="I86" s="5">
        <v>4.0</v>
      </c>
    </row>
    <row r="87">
      <c r="A87" s="7" t="s">
        <v>12</v>
      </c>
      <c r="B87" s="5" t="s">
        <v>13</v>
      </c>
      <c r="C87" s="5">
        <v>69573.0</v>
      </c>
      <c r="D87" s="5">
        <v>100.0</v>
      </c>
      <c r="E87" s="5">
        <v>172.0</v>
      </c>
      <c r="F87" s="5" t="s">
        <v>14</v>
      </c>
      <c r="G87" s="5" t="s">
        <v>47</v>
      </c>
      <c r="H87" s="5">
        <v>172.0</v>
      </c>
      <c r="I87" s="5">
        <v>5.0</v>
      </c>
    </row>
    <row r="88">
      <c r="A88" s="11">
        <v>1.0</v>
      </c>
      <c r="B88" s="5" t="s">
        <v>19</v>
      </c>
      <c r="C88" s="5">
        <v>15354.0</v>
      </c>
      <c r="D88" s="5">
        <v>22.1</v>
      </c>
      <c r="E88" s="5">
        <v>38.0</v>
      </c>
      <c r="F88" s="5" t="s">
        <v>14</v>
      </c>
      <c r="G88" s="5" t="s">
        <v>47</v>
      </c>
      <c r="H88" s="5">
        <v>38.0</v>
      </c>
      <c r="I88" s="5">
        <v>5.0</v>
      </c>
    </row>
    <row r="89">
      <c r="A89" s="11">
        <v>2.0</v>
      </c>
      <c r="B89" s="5" t="s">
        <v>17</v>
      </c>
      <c r="C89" s="5">
        <v>11349.0</v>
      </c>
      <c r="D89" s="5">
        <v>16.3</v>
      </c>
      <c r="E89" s="5">
        <v>28.1</v>
      </c>
      <c r="F89" s="5" t="s">
        <v>14</v>
      </c>
      <c r="G89" s="5" t="s">
        <v>47</v>
      </c>
      <c r="H89" s="5">
        <v>28.1</v>
      </c>
      <c r="I89" s="5">
        <v>5.0</v>
      </c>
    </row>
    <row r="90">
      <c r="A90" s="11">
        <v>3.0</v>
      </c>
      <c r="B90" s="5" t="s">
        <v>16</v>
      </c>
      <c r="C90" s="5">
        <v>10341.0</v>
      </c>
      <c r="D90" s="5">
        <v>14.9</v>
      </c>
      <c r="E90" s="5">
        <v>25.6</v>
      </c>
      <c r="F90" s="5" t="s">
        <v>14</v>
      </c>
      <c r="G90" s="5" t="s">
        <v>47</v>
      </c>
      <c r="H90" s="5">
        <v>25.6</v>
      </c>
      <c r="I90" s="5">
        <v>5.0</v>
      </c>
    </row>
    <row r="91">
      <c r="A91" s="11">
        <v>4.0</v>
      </c>
      <c r="B91" s="5" t="s">
        <v>25</v>
      </c>
      <c r="C91" s="5">
        <v>6551.0</v>
      </c>
      <c r="D91" s="5">
        <v>9.4</v>
      </c>
      <c r="E91" s="5">
        <v>16.2</v>
      </c>
      <c r="F91" s="5" t="s">
        <v>14</v>
      </c>
      <c r="G91" s="5" t="s">
        <v>47</v>
      </c>
      <c r="H91" s="5">
        <v>16.2</v>
      </c>
      <c r="I91" s="5">
        <v>5.0</v>
      </c>
    </row>
    <row r="92">
      <c r="A92" s="11">
        <v>5.0</v>
      </c>
      <c r="B92" s="5" t="s">
        <v>34</v>
      </c>
      <c r="C92" s="5">
        <v>2581.0</v>
      </c>
      <c r="D92" s="5">
        <v>3.7</v>
      </c>
      <c r="E92" s="5">
        <v>6.4</v>
      </c>
      <c r="F92" s="5" t="s">
        <v>14</v>
      </c>
      <c r="G92" s="5" t="s">
        <v>47</v>
      </c>
      <c r="H92" s="5">
        <v>6.4</v>
      </c>
      <c r="I92" s="5">
        <v>5.0</v>
      </c>
    </row>
    <row r="93">
      <c r="A93" s="11">
        <v>6.0</v>
      </c>
      <c r="B93" s="5" t="s">
        <v>27</v>
      </c>
      <c r="C93" s="5">
        <v>2491.0</v>
      </c>
      <c r="D93" s="5">
        <v>3.6</v>
      </c>
      <c r="E93" s="5">
        <v>6.2</v>
      </c>
      <c r="F93" s="5" t="s">
        <v>14</v>
      </c>
      <c r="G93" s="5" t="s">
        <v>47</v>
      </c>
      <c r="H93" s="5">
        <v>6.2</v>
      </c>
      <c r="I93" s="5">
        <v>5.0</v>
      </c>
    </row>
    <row r="94">
      <c r="A94" s="11">
        <v>7.0</v>
      </c>
      <c r="B94" s="5" t="s">
        <v>22</v>
      </c>
      <c r="C94" s="5">
        <v>1952.0</v>
      </c>
      <c r="D94" s="5">
        <v>2.8</v>
      </c>
      <c r="E94" s="5">
        <v>4.8</v>
      </c>
      <c r="F94" s="5" t="s">
        <v>14</v>
      </c>
      <c r="G94" s="5" t="s">
        <v>47</v>
      </c>
      <c r="H94" s="5">
        <v>4.8</v>
      </c>
      <c r="I94" s="5">
        <v>5.0</v>
      </c>
    </row>
    <row r="95">
      <c r="A95" s="11">
        <v>8.0</v>
      </c>
      <c r="B95" s="5" t="s">
        <v>20</v>
      </c>
      <c r="C95" s="5">
        <v>1687.0</v>
      </c>
      <c r="D95" s="5">
        <v>2.4</v>
      </c>
      <c r="E95" s="5">
        <v>4.2</v>
      </c>
      <c r="F95" s="5" t="s">
        <v>14</v>
      </c>
      <c r="G95" s="5" t="s">
        <v>47</v>
      </c>
      <c r="H95" s="5">
        <v>4.2</v>
      </c>
      <c r="I95" s="5">
        <v>5.0</v>
      </c>
    </row>
    <row r="96">
      <c r="A96" s="11">
        <v>9.0</v>
      </c>
      <c r="B96" s="5" t="s">
        <v>44</v>
      </c>
      <c r="C96" s="5">
        <v>1246.0</v>
      </c>
      <c r="D96" s="5">
        <v>1.8</v>
      </c>
      <c r="E96" s="5">
        <v>3.1</v>
      </c>
      <c r="F96" s="5" t="s">
        <v>14</v>
      </c>
      <c r="G96" s="5" t="s">
        <v>47</v>
      </c>
      <c r="H96" s="5">
        <v>3.1</v>
      </c>
      <c r="I96" s="5">
        <v>5.0</v>
      </c>
    </row>
    <row r="97">
      <c r="A97" s="11">
        <v>10.0</v>
      </c>
      <c r="B97" s="5" t="s">
        <v>23</v>
      </c>
      <c r="C97" s="5">
        <v>881.0</v>
      </c>
      <c r="D97" s="5">
        <v>1.3</v>
      </c>
      <c r="E97" s="5">
        <v>2.2</v>
      </c>
      <c r="F97" s="5" t="s">
        <v>14</v>
      </c>
      <c r="G97" s="5" t="s">
        <v>47</v>
      </c>
      <c r="H97" s="5">
        <v>2.2</v>
      </c>
      <c r="I97" s="5">
        <v>5.0</v>
      </c>
    </row>
    <row r="98">
      <c r="A98" s="11">
        <v>11.0</v>
      </c>
      <c r="B98" s="5" t="s">
        <v>26</v>
      </c>
      <c r="C98" s="5">
        <v>820.0</v>
      </c>
      <c r="D98" s="5">
        <v>1.2</v>
      </c>
      <c r="E98" s="5">
        <v>2.0</v>
      </c>
      <c r="F98" s="5" t="s">
        <v>14</v>
      </c>
      <c r="G98" s="5" t="s">
        <v>47</v>
      </c>
      <c r="H98" s="5">
        <v>2.0</v>
      </c>
      <c r="I98" s="5">
        <v>5.0</v>
      </c>
    </row>
    <row r="99">
      <c r="A99" s="11">
        <v>12.0</v>
      </c>
      <c r="B99" s="5" t="s">
        <v>18</v>
      </c>
      <c r="C99" s="5">
        <v>760.0</v>
      </c>
      <c r="D99" s="5">
        <v>1.1</v>
      </c>
      <c r="E99" s="5">
        <v>1.9</v>
      </c>
      <c r="F99" s="5" t="s">
        <v>14</v>
      </c>
      <c r="G99" s="5" t="s">
        <v>47</v>
      </c>
      <c r="H99" s="5">
        <v>1.9</v>
      </c>
      <c r="I99" s="5">
        <v>5.0</v>
      </c>
    </row>
    <row r="100">
      <c r="A100" s="11">
        <v>13.0</v>
      </c>
      <c r="B100" s="5" t="s">
        <v>24</v>
      </c>
      <c r="C100" s="5">
        <v>627.0</v>
      </c>
      <c r="D100" s="5">
        <v>0.9</v>
      </c>
      <c r="E100" s="5">
        <v>1.5</v>
      </c>
      <c r="F100" s="5" t="s">
        <v>14</v>
      </c>
      <c r="G100" s="5" t="s">
        <v>47</v>
      </c>
      <c r="H100" s="5">
        <v>1.5</v>
      </c>
      <c r="I100" s="5">
        <v>5.0</v>
      </c>
    </row>
    <row r="101">
      <c r="A101" s="11">
        <v>14.0</v>
      </c>
      <c r="B101" s="5" t="s">
        <v>33</v>
      </c>
      <c r="C101" s="5">
        <v>441.0</v>
      </c>
      <c r="D101" s="5">
        <v>0.6</v>
      </c>
      <c r="E101" s="5">
        <v>1.1</v>
      </c>
      <c r="F101" s="5" t="s">
        <v>14</v>
      </c>
      <c r="G101" s="5" t="s">
        <v>47</v>
      </c>
      <c r="H101" s="5">
        <v>1.1</v>
      </c>
      <c r="I101" s="5">
        <v>5.0</v>
      </c>
    </row>
    <row r="102">
      <c r="A102" s="11">
        <v>15.0</v>
      </c>
      <c r="B102" s="5" t="s">
        <v>28</v>
      </c>
      <c r="C102" s="5">
        <v>409.0</v>
      </c>
      <c r="D102" s="5">
        <v>0.6</v>
      </c>
      <c r="E102" s="5">
        <v>1.0</v>
      </c>
      <c r="F102" s="5" t="s">
        <v>14</v>
      </c>
      <c r="G102" s="5" t="s">
        <v>47</v>
      </c>
      <c r="H102" s="5">
        <v>1.0</v>
      </c>
      <c r="I102" s="5">
        <v>5.0</v>
      </c>
    </row>
    <row r="103">
      <c r="A103" s="7" t="s">
        <v>12</v>
      </c>
      <c r="B103" s="5" t="s">
        <v>31</v>
      </c>
      <c r="C103" s="5">
        <v>12083.0</v>
      </c>
      <c r="D103" s="5">
        <v>17.4</v>
      </c>
      <c r="E103" s="5">
        <v>29.9</v>
      </c>
      <c r="F103" s="5" t="s">
        <v>14</v>
      </c>
      <c r="G103" s="5" t="s">
        <v>47</v>
      </c>
      <c r="H103" s="5">
        <v>29.9</v>
      </c>
      <c r="I103" s="5">
        <v>5.0</v>
      </c>
    </row>
    <row r="104">
      <c r="A104" s="7" t="s">
        <v>12</v>
      </c>
      <c r="B104" s="5" t="s">
        <v>13</v>
      </c>
      <c r="C104" s="5">
        <v>177724.0</v>
      </c>
      <c r="D104" s="5">
        <v>100.0</v>
      </c>
      <c r="E104" s="5">
        <v>406.1</v>
      </c>
      <c r="F104" s="5" t="s">
        <v>14</v>
      </c>
      <c r="G104" s="5" t="s">
        <v>48</v>
      </c>
      <c r="H104" s="5">
        <v>406.1</v>
      </c>
      <c r="I104" s="5">
        <v>6.0</v>
      </c>
    </row>
    <row r="105">
      <c r="A105" s="11">
        <v>1.0</v>
      </c>
      <c r="B105" s="5" t="s">
        <v>17</v>
      </c>
      <c r="C105" s="5">
        <v>46185.0</v>
      </c>
      <c r="D105" s="5">
        <v>26.0</v>
      </c>
      <c r="E105" s="5">
        <v>105.5</v>
      </c>
      <c r="F105" s="5" t="s">
        <v>14</v>
      </c>
      <c r="G105" s="5" t="s">
        <v>48</v>
      </c>
      <c r="H105" s="5">
        <v>105.5</v>
      </c>
      <c r="I105" s="5">
        <v>6.0</v>
      </c>
    </row>
    <row r="106">
      <c r="A106" s="11">
        <v>2.0</v>
      </c>
      <c r="B106" s="5" t="s">
        <v>16</v>
      </c>
      <c r="C106" s="5">
        <v>35167.0</v>
      </c>
      <c r="D106" s="5">
        <v>19.8</v>
      </c>
      <c r="E106" s="5">
        <v>80.3</v>
      </c>
      <c r="F106" s="5" t="s">
        <v>14</v>
      </c>
      <c r="G106" s="5" t="s">
        <v>48</v>
      </c>
      <c r="H106" s="5">
        <v>80.3</v>
      </c>
      <c r="I106" s="5">
        <v>6.0</v>
      </c>
    </row>
    <row r="107">
      <c r="A107" s="11">
        <v>3.0</v>
      </c>
      <c r="B107" s="5" t="s">
        <v>19</v>
      </c>
      <c r="C107" s="5">
        <v>20357.0</v>
      </c>
      <c r="D107" s="5">
        <v>11.5</v>
      </c>
      <c r="E107" s="5">
        <v>46.5</v>
      </c>
      <c r="F107" s="5" t="s">
        <v>14</v>
      </c>
      <c r="G107" s="5" t="s">
        <v>48</v>
      </c>
      <c r="H107" s="5">
        <v>46.5</v>
      </c>
      <c r="I107" s="5">
        <v>6.0</v>
      </c>
    </row>
    <row r="108">
      <c r="A108" s="11">
        <v>4.0</v>
      </c>
      <c r="B108" s="5" t="s">
        <v>27</v>
      </c>
      <c r="C108" s="5">
        <v>8785.0</v>
      </c>
      <c r="D108" s="5">
        <v>4.9</v>
      </c>
      <c r="E108" s="5">
        <v>20.1</v>
      </c>
      <c r="F108" s="5" t="s">
        <v>14</v>
      </c>
      <c r="G108" s="5" t="s">
        <v>48</v>
      </c>
      <c r="H108" s="5">
        <v>20.1</v>
      </c>
      <c r="I108" s="5">
        <v>6.0</v>
      </c>
    </row>
    <row r="109">
      <c r="A109" s="11">
        <v>5.0</v>
      </c>
      <c r="B109" s="5" t="s">
        <v>25</v>
      </c>
      <c r="C109" s="5">
        <v>8621.0</v>
      </c>
      <c r="D109" s="5">
        <v>4.9</v>
      </c>
      <c r="E109" s="5">
        <v>19.7</v>
      </c>
      <c r="F109" s="5" t="s">
        <v>14</v>
      </c>
      <c r="G109" s="5" t="s">
        <v>48</v>
      </c>
      <c r="H109" s="5">
        <v>19.7</v>
      </c>
      <c r="I109" s="5">
        <v>6.0</v>
      </c>
    </row>
    <row r="110">
      <c r="A110" s="11">
        <v>6.0</v>
      </c>
      <c r="B110" s="5" t="s">
        <v>22</v>
      </c>
      <c r="C110" s="5">
        <v>5899.0</v>
      </c>
      <c r="D110" s="5">
        <v>3.3</v>
      </c>
      <c r="E110" s="5">
        <v>13.5</v>
      </c>
      <c r="F110" s="5" t="s">
        <v>14</v>
      </c>
      <c r="G110" s="5" t="s">
        <v>48</v>
      </c>
      <c r="H110" s="5">
        <v>13.5</v>
      </c>
      <c r="I110" s="5">
        <v>6.0</v>
      </c>
    </row>
    <row r="111">
      <c r="A111" s="11">
        <v>7.0</v>
      </c>
      <c r="B111" s="5" t="s">
        <v>20</v>
      </c>
      <c r="C111" s="5">
        <v>5425.0</v>
      </c>
      <c r="D111" s="5">
        <v>3.1</v>
      </c>
      <c r="E111" s="5">
        <v>12.4</v>
      </c>
      <c r="F111" s="5" t="s">
        <v>14</v>
      </c>
      <c r="G111" s="5" t="s">
        <v>48</v>
      </c>
      <c r="H111" s="5">
        <v>12.4</v>
      </c>
      <c r="I111" s="5">
        <v>6.0</v>
      </c>
    </row>
    <row r="112">
      <c r="A112" s="11">
        <v>8.0</v>
      </c>
      <c r="B112" s="5" t="s">
        <v>18</v>
      </c>
      <c r="C112" s="5">
        <v>4619.0</v>
      </c>
      <c r="D112" s="5">
        <v>2.6</v>
      </c>
      <c r="E112" s="5">
        <v>10.6</v>
      </c>
      <c r="F112" s="5" t="s">
        <v>14</v>
      </c>
      <c r="G112" s="5" t="s">
        <v>48</v>
      </c>
      <c r="H112" s="5">
        <v>10.6</v>
      </c>
      <c r="I112" s="5">
        <v>6.0</v>
      </c>
    </row>
    <row r="113">
      <c r="A113" s="11">
        <v>9.0</v>
      </c>
      <c r="B113" s="5" t="s">
        <v>26</v>
      </c>
      <c r="C113" s="5">
        <v>2445.0</v>
      </c>
      <c r="D113" s="5">
        <v>1.4</v>
      </c>
      <c r="E113" s="5">
        <v>5.6</v>
      </c>
      <c r="F113" s="5" t="s">
        <v>14</v>
      </c>
      <c r="G113" s="5" t="s">
        <v>48</v>
      </c>
      <c r="H113" s="5">
        <v>5.6</v>
      </c>
      <c r="I113" s="5">
        <v>6.0</v>
      </c>
    </row>
    <row r="114">
      <c r="A114" s="11">
        <v>10.0</v>
      </c>
      <c r="B114" s="5" t="s">
        <v>44</v>
      </c>
      <c r="C114" s="5">
        <v>2378.0</v>
      </c>
      <c r="D114" s="5">
        <v>1.3</v>
      </c>
      <c r="E114" s="5">
        <v>5.4</v>
      </c>
      <c r="F114" s="5" t="s">
        <v>14</v>
      </c>
      <c r="G114" s="5" t="s">
        <v>48</v>
      </c>
      <c r="H114" s="5">
        <v>5.4</v>
      </c>
      <c r="I114" s="5">
        <v>6.0</v>
      </c>
    </row>
    <row r="115">
      <c r="A115" s="11">
        <v>11.0</v>
      </c>
      <c r="B115" s="5" t="s">
        <v>23</v>
      </c>
      <c r="C115" s="5">
        <v>2233.0</v>
      </c>
      <c r="D115" s="5">
        <v>1.3</v>
      </c>
      <c r="E115" s="5">
        <v>5.1</v>
      </c>
      <c r="F115" s="5" t="s">
        <v>14</v>
      </c>
      <c r="G115" s="5" t="s">
        <v>48</v>
      </c>
      <c r="H115" s="5">
        <v>5.1</v>
      </c>
      <c r="I115" s="5">
        <v>6.0</v>
      </c>
    </row>
    <row r="116">
      <c r="A116" s="11">
        <v>12.0</v>
      </c>
      <c r="B116" s="5" t="s">
        <v>24</v>
      </c>
      <c r="C116" s="5">
        <v>2025.0</v>
      </c>
      <c r="D116" s="5">
        <v>1.1</v>
      </c>
      <c r="E116" s="5">
        <v>4.6</v>
      </c>
      <c r="F116" s="5" t="s">
        <v>14</v>
      </c>
      <c r="G116" s="5" t="s">
        <v>48</v>
      </c>
      <c r="H116" s="5">
        <v>4.6</v>
      </c>
      <c r="I116" s="5">
        <v>6.0</v>
      </c>
    </row>
    <row r="117">
      <c r="A117" s="11">
        <v>13.0</v>
      </c>
      <c r="B117" s="5" t="s">
        <v>34</v>
      </c>
      <c r="C117" s="5">
        <v>1989.0</v>
      </c>
      <c r="D117" s="5">
        <v>1.1</v>
      </c>
      <c r="E117" s="5">
        <v>4.5</v>
      </c>
      <c r="F117" s="5" t="s">
        <v>14</v>
      </c>
      <c r="G117" s="5" t="s">
        <v>48</v>
      </c>
      <c r="H117" s="5">
        <v>4.5</v>
      </c>
      <c r="I117" s="5">
        <v>6.0</v>
      </c>
    </row>
    <row r="118">
      <c r="A118" s="11">
        <v>14.0</v>
      </c>
      <c r="B118" s="5" t="s">
        <v>49</v>
      </c>
      <c r="C118" s="5">
        <v>1911.0</v>
      </c>
      <c r="D118" s="5">
        <v>1.1</v>
      </c>
      <c r="E118" s="5">
        <v>4.4</v>
      </c>
      <c r="F118" s="5" t="s">
        <v>14</v>
      </c>
      <c r="G118" s="5" t="s">
        <v>48</v>
      </c>
      <c r="H118" s="5">
        <v>4.4</v>
      </c>
      <c r="I118" s="5">
        <v>6.0</v>
      </c>
    </row>
    <row r="119">
      <c r="A119" s="11">
        <v>15.0</v>
      </c>
      <c r="B119" s="5" t="s">
        <v>28</v>
      </c>
      <c r="C119" s="5">
        <v>1513.0</v>
      </c>
      <c r="D119" s="5">
        <v>0.9</v>
      </c>
      <c r="E119" s="5">
        <v>3.5</v>
      </c>
      <c r="F119" s="5" t="s">
        <v>14</v>
      </c>
      <c r="G119" s="5" t="s">
        <v>48</v>
      </c>
      <c r="H119" s="5">
        <v>3.5</v>
      </c>
      <c r="I119" s="5">
        <v>6.0</v>
      </c>
    </row>
    <row r="120">
      <c r="A120" s="7" t="s">
        <v>12</v>
      </c>
      <c r="B120" s="5" t="s">
        <v>31</v>
      </c>
      <c r="C120" s="5">
        <v>28172.0</v>
      </c>
      <c r="D120" s="5">
        <v>15.9</v>
      </c>
      <c r="E120" s="5">
        <v>64.4</v>
      </c>
      <c r="F120" s="5" t="s">
        <v>14</v>
      </c>
      <c r="G120" s="5" t="s">
        <v>48</v>
      </c>
      <c r="H120" s="5">
        <v>64.4</v>
      </c>
      <c r="I120" s="5">
        <v>6.0</v>
      </c>
    </row>
    <row r="121">
      <c r="A121" s="7" t="s">
        <v>12</v>
      </c>
      <c r="B121" s="5" t="s">
        <v>13</v>
      </c>
      <c r="C121" s="5">
        <v>338127.0</v>
      </c>
      <c r="D121" s="5">
        <v>100.0</v>
      </c>
      <c r="E121" s="5">
        <v>860.0</v>
      </c>
      <c r="F121" s="5" t="s">
        <v>14</v>
      </c>
      <c r="G121" s="5" t="s">
        <v>50</v>
      </c>
      <c r="H121" s="5">
        <v>860.0</v>
      </c>
      <c r="I121" s="5">
        <v>7.0</v>
      </c>
    </row>
    <row r="122">
      <c r="A122" s="11">
        <v>1.0</v>
      </c>
      <c r="B122" s="5" t="s">
        <v>17</v>
      </c>
      <c r="C122" s="5">
        <v>113324.0</v>
      </c>
      <c r="D122" s="5">
        <v>33.5</v>
      </c>
      <c r="E122" s="5">
        <v>288.2</v>
      </c>
      <c r="F122" s="5" t="s">
        <v>14</v>
      </c>
      <c r="G122" s="5" t="s">
        <v>50</v>
      </c>
      <c r="H122" s="18">
        <v>288.2</v>
      </c>
      <c r="I122" s="5">
        <v>7.0</v>
      </c>
    </row>
    <row r="123">
      <c r="A123" s="11">
        <v>2.0</v>
      </c>
      <c r="B123" s="5" t="s">
        <v>16</v>
      </c>
      <c r="C123" s="5">
        <v>72568.0</v>
      </c>
      <c r="D123" s="5">
        <v>21.5</v>
      </c>
      <c r="E123" s="5">
        <v>184.6</v>
      </c>
      <c r="F123" s="5" t="s">
        <v>14</v>
      </c>
      <c r="G123" s="5" t="s">
        <v>50</v>
      </c>
      <c r="H123" s="18">
        <v>184.6</v>
      </c>
      <c r="I123" s="5">
        <v>7.0</v>
      </c>
    </row>
    <row r="124">
      <c r="A124" s="11">
        <v>3.0</v>
      </c>
      <c r="B124" s="5" t="s">
        <v>19</v>
      </c>
      <c r="C124" s="5">
        <v>17057.0</v>
      </c>
      <c r="D124" s="5">
        <v>5.0</v>
      </c>
      <c r="E124" s="5">
        <v>43.4</v>
      </c>
      <c r="F124" s="5" t="s">
        <v>14</v>
      </c>
      <c r="G124" s="5" t="s">
        <v>50</v>
      </c>
      <c r="H124" s="18">
        <v>43.4</v>
      </c>
      <c r="I124" s="5">
        <v>7.0</v>
      </c>
    </row>
    <row r="125">
      <c r="A125" s="11">
        <v>4.0</v>
      </c>
      <c r="B125" s="5" t="s">
        <v>18</v>
      </c>
      <c r="C125" s="5">
        <v>15942.0</v>
      </c>
      <c r="D125" s="5">
        <v>4.7</v>
      </c>
      <c r="E125" s="5">
        <v>40.5</v>
      </c>
      <c r="F125" s="5" t="s">
        <v>14</v>
      </c>
      <c r="G125" s="5" t="s">
        <v>50</v>
      </c>
      <c r="H125" s="18">
        <v>40.5</v>
      </c>
      <c r="I125" s="5">
        <v>7.0</v>
      </c>
    </row>
    <row r="126">
      <c r="A126" s="11">
        <v>5.0</v>
      </c>
      <c r="B126" s="5" t="s">
        <v>22</v>
      </c>
      <c r="C126" s="5">
        <v>13061.0</v>
      </c>
      <c r="D126" s="5">
        <v>3.9</v>
      </c>
      <c r="E126" s="5">
        <v>33.2</v>
      </c>
      <c r="F126" s="5" t="s">
        <v>14</v>
      </c>
      <c r="G126" s="5" t="s">
        <v>50</v>
      </c>
      <c r="H126" s="18">
        <v>33.2</v>
      </c>
      <c r="I126" s="5">
        <v>7.0</v>
      </c>
    </row>
    <row r="127">
      <c r="A127" s="11">
        <v>6.0</v>
      </c>
      <c r="B127" s="5" t="s">
        <v>27</v>
      </c>
      <c r="C127" s="5">
        <v>11951.0</v>
      </c>
      <c r="D127" s="5">
        <v>3.5</v>
      </c>
      <c r="E127" s="5">
        <v>30.4</v>
      </c>
      <c r="F127" s="5" t="s">
        <v>14</v>
      </c>
      <c r="G127" s="5" t="s">
        <v>50</v>
      </c>
      <c r="H127" s="18">
        <v>30.4</v>
      </c>
      <c r="I127" s="5">
        <v>7.0</v>
      </c>
    </row>
    <row r="128">
      <c r="A128" s="11">
        <v>7.0</v>
      </c>
      <c r="B128" s="5" t="s">
        <v>20</v>
      </c>
      <c r="C128" s="5">
        <v>11364.0</v>
      </c>
      <c r="D128" s="5">
        <v>3.4</v>
      </c>
      <c r="E128" s="5">
        <v>28.9</v>
      </c>
      <c r="F128" s="5" t="s">
        <v>14</v>
      </c>
      <c r="G128" s="5" t="s">
        <v>50</v>
      </c>
      <c r="H128" s="18">
        <v>28.9</v>
      </c>
      <c r="I128" s="5">
        <v>7.0</v>
      </c>
    </row>
    <row r="129">
      <c r="A129" s="11">
        <v>8.0</v>
      </c>
      <c r="B129" s="5" t="s">
        <v>25</v>
      </c>
      <c r="C129" s="5">
        <v>7135.0</v>
      </c>
      <c r="D129" s="5">
        <v>2.1</v>
      </c>
      <c r="E129" s="5">
        <v>18.1</v>
      </c>
      <c r="F129" s="5" t="s">
        <v>14</v>
      </c>
      <c r="G129" s="5" t="s">
        <v>50</v>
      </c>
      <c r="H129" s="18">
        <v>18.1</v>
      </c>
      <c r="I129" s="5">
        <v>7.0</v>
      </c>
    </row>
    <row r="130">
      <c r="A130" s="11">
        <v>9.0</v>
      </c>
      <c r="B130" s="5" t="s">
        <v>26</v>
      </c>
      <c r="C130" s="5">
        <v>5345.0</v>
      </c>
      <c r="D130" s="5">
        <v>1.6</v>
      </c>
      <c r="E130" s="5">
        <v>13.6</v>
      </c>
      <c r="F130" s="5" t="s">
        <v>14</v>
      </c>
      <c r="G130" s="5" t="s">
        <v>50</v>
      </c>
      <c r="H130" s="18">
        <v>13.6</v>
      </c>
      <c r="I130" s="5">
        <v>7.0</v>
      </c>
    </row>
    <row r="131">
      <c r="A131" s="11">
        <v>10.0</v>
      </c>
      <c r="B131" s="5" t="s">
        <v>24</v>
      </c>
      <c r="C131" s="5">
        <v>4947.0</v>
      </c>
      <c r="D131" s="5">
        <v>1.5</v>
      </c>
      <c r="E131" s="5">
        <v>12.6</v>
      </c>
      <c r="F131" s="5" t="s">
        <v>14</v>
      </c>
      <c r="G131" s="5" t="s">
        <v>50</v>
      </c>
      <c r="H131" s="18">
        <v>12.6</v>
      </c>
      <c r="I131" s="5">
        <v>7.0</v>
      </c>
    </row>
    <row r="132">
      <c r="A132" s="11">
        <v>11.0</v>
      </c>
      <c r="B132" s="5" t="s">
        <v>23</v>
      </c>
      <c r="C132" s="5">
        <v>4779.0</v>
      </c>
      <c r="D132" s="5">
        <v>1.4</v>
      </c>
      <c r="E132" s="5">
        <v>12.2</v>
      </c>
      <c r="F132" s="5" t="s">
        <v>14</v>
      </c>
      <c r="G132" s="5" t="s">
        <v>50</v>
      </c>
      <c r="H132" s="18">
        <v>12.2</v>
      </c>
      <c r="I132" s="5">
        <v>7.0</v>
      </c>
    </row>
    <row r="133">
      <c r="A133" s="11">
        <v>12.0</v>
      </c>
      <c r="B133" s="5" t="s">
        <v>49</v>
      </c>
      <c r="C133" s="5">
        <v>3936.0</v>
      </c>
      <c r="D133" s="5">
        <v>1.2</v>
      </c>
      <c r="E133" s="5">
        <v>10.0</v>
      </c>
      <c r="F133" s="5" t="s">
        <v>14</v>
      </c>
      <c r="G133" s="5" t="s">
        <v>50</v>
      </c>
      <c r="H133" s="18">
        <v>10.0</v>
      </c>
      <c r="I133" s="5">
        <v>7.0</v>
      </c>
    </row>
    <row r="134">
      <c r="A134" s="11">
        <v>13.0</v>
      </c>
      <c r="B134" s="5" t="s">
        <v>28</v>
      </c>
      <c r="C134" s="5">
        <v>3137.0</v>
      </c>
      <c r="D134" s="5">
        <v>0.9</v>
      </c>
      <c r="E134" s="5">
        <v>8.0</v>
      </c>
      <c r="F134" s="5" t="s">
        <v>14</v>
      </c>
      <c r="G134" s="5" t="s">
        <v>50</v>
      </c>
      <c r="H134" s="18">
        <v>8.0</v>
      </c>
      <c r="I134" s="5">
        <v>7.0</v>
      </c>
    </row>
    <row r="135">
      <c r="A135" s="11">
        <v>14.0</v>
      </c>
      <c r="B135" s="5" t="s">
        <v>44</v>
      </c>
      <c r="C135" s="5">
        <v>1820.0</v>
      </c>
      <c r="D135" s="5">
        <v>0.5</v>
      </c>
      <c r="E135" s="5">
        <v>4.6</v>
      </c>
      <c r="F135" s="5" t="s">
        <v>14</v>
      </c>
      <c r="G135" s="5" t="s">
        <v>50</v>
      </c>
      <c r="H135" s="18">
        <v>4.6</v>
      </c>
      <c r="I135" s="5">
        <v>7.0</v>
      </c>
    </row>
    <row r="136">
      <c r="A136" s="11">
        <v>15.0</v>
      </c>
      <c r="B136" s="5" t="s">
        <v>35</v>
      </c>
      <c r="C136" s="5">
        <v>1502.0</v>
      </c>
      <c r="D136" s="5">
        <v>0.4</v>
      </c>
      <c r="E136" s="5">
        <v>3.8</v>
      </c>
      <c r="F136" s="5" t="s">
        <v>14</v>
      </c>
      <c r="G136" s="5" t="s">
        <v>50</v>
      </c>
      <c r="H136" s="18">
        <v>3.8</v>
      </c>
      <c r="I136" s="5">
        <v>7.0</v>
      </c>
    </row>
    <row r="137">
      <c r="A137" s="7" t="s">
        <v>12</v>
      </c>
      <c r="B137" s="5" t="s">
        <v>31</v>
      </c>
      <c r="C137" s="5">
        <v>50259.0</v>
      </c>
      <c r="D137" s="5">
        <v>14.9</v>
      </c>
      <c r="E137" s="5">
        <v>127.8</v>
      </c>
      <c r="F137" s="5" t="s">
        <v>14</v>
      </c>
      <c r="G137" s="5" t="s">
        <v>50</v>
      </c>
      <c r="H137" s="18">
        <v>127.8</v>
      </c>
      <c r="I137" s="5">
        <v>7.0</v>
      </c>
    </row>
    <row r="138">
      <c r="A138" s="7" t="s">
        <v>12</v>
      </c>
      <c r="B138" s="5" t="s">
        <v>13</v>
      </c>
      <c r="C138" s="5">
        <v>454429.0</v>
      </c>
      <c r="D138" s="5">
        <v>100.0</v>
      </c>
      <c r="E138" s="5">
        <v>1802.1</v>
      </c>
      <c r="F138" s="5" t="s">
        <v>14</v>
      </c>
      <c r="G138" s="5" t="s">
        <v>51</v>
      </c>
      <c r="H138" s="5">
        <v>1802.1</v>
      </c>
      <c r="I138" s="5">
        <v>8.0</v>
      </c>
    </row>
    <row r="139">
      <c r="A139" s="11">
        <v>1.0</v>
      </c>
      <c r="B139" s="5" t="s">
        <v>17</v>
      </c>
      <c r="C139" s="5">
        <v>155552.0</v>
      </c>
      <c r="D139" s="5">
        <v>34.2</v>
      </c>
      <c r="E139" s="5">
        <v>616.9</v>
      </c>
      <c r="F139" s="5" t="s">
        <v>14</v>
      </c>
      <c r="G139" s="5" t="s">
        <v>51</v>
      </c>
      <c r="H139" s="5">
        <v>616.9</v>
      </c>
      <c r="I139" s="5">
        <v>8.0</v>
      </c>
    </row>
    <row r="140">
      <c r="A140" s="11">
        <v>2.0</v>
      </c>
      <c r="B140" s="5" t="s">
        <v>16</v>
      </c>
      <c r="C140" s="5">
        <v>98432.0</v>
      </c>
      <c r="D140" s="5">
        <v>21.7</v>
      </c>
      <c r="E140" s="5">
        <v>390.3</v>
      </c>
      <c r="F140" s="5" t="s">
        <v>14</v>
      </c>
      <c r="G140" s="5" t="s">
        <v>51</v>
      </c>
      <c r="H140" s="5">
        <v>390.3</v>
      </c>
      <c r="I140" s="5">
        <v>8.0</v>
      </c>
    </row>
    <row r="141">
      <c r="A141" s="11">
        <v>3.0</v>
      </c>
      <c r="B141" s="5" t="s">
        <v>18</v>
      </c>
      <c r="C141" s="5">
        <v>35603.0</v>
      </c>
      <c r="D141" s="5">
        <v>7.8</v>
      </c>
      <c r="E141" s="5">
        <v>141.2</v>
      </c>
      <c r="F141" s="5" t="s">
        <v>14</v>
      </c>
      <c r="G141" s="5" t="s">
        <v>51</v>
      </c>
      <c r="H141" s="5">
        <v>141.2</v>
      </c>
      <c r="I141" s="5">
        <v>8.0</v>
      </c>
    </row>
    <row r="142">
      <c r="A142" s="11">
        <v>4.0</v>
      </c>
      <c r="B142" s="5" t="s">
        <v>20</v>
      </c>
      <c r="C142" s="5">
        <v>18722.0</v>
      </c>
      <c r="D142" s="5">
        <v>4.1</v>
      </c>
      <c r="E142" s="5">
        <v>74.2</v>
      </c>
      <c r="F142" s="5" t="s">
        <v>14</v>
      </c>
      <c r="G142" s="5" t="s">
        <v>51</v>
      </c>
      <c r="H142" s="5">
        <v>74.2</v>
      </c>
      <c r="I142" s="5">
        <v>8.0</v>
      </c>
    </row>
    <row r="143">
      <c r="A143" s="11">
        <v>5.0</v>
      </c>
      <c r="B143" s="5" t="s">
        <v>22</v>
      </c>
      <c r="C143" s="5">
        <v>17279.0</v>
      </c>
      <c r="D143" s="5">
        <v>3.8</v>
      </c>
      <c r="E143" s="5">
        <v>68.5</v>
      </c>
      <c r="F143" s="5" t="s">
        <v>14</v>
      </c>
      <c r="G143" s="5" t="s">
        <v>51</v>
      </c>
      <c r="H143" s="5">
        <v>68.5</v>
      </c>
      <c r="I143" s="5">
        <v>8.0</v>
      </c>
    </row>
    <row r="144">
      <c r="A144" s="11">
        <v>6.0</v>
      </c>
      <c r="B144" s="5" t="s">
        <v>19</v>
      </c>
      <c r="C144" s="5">
        <v>10967.0</v>
      </c>
      <c r="D144" s="5">
        <v>2.4</v>
      </c>
      <c r="E144" s="5">
        <v>43.5</v>
      </c>
      <c r="F144" s="5" t="s">
        <v>14</v>
      </c>
      <c r="G144" s="5" t="s">
        <v>51</v>
      </c>
      <c r="H144" s="5">
        <v>43.5</v>
      </c>
      <c r="I144" s="5">
        <v>8.0</v>
      </c>
    </row>
    <row r="145">
      <c r="A145" s="11">
        <v>7.0</v>
      </c>
      <c r="B145" s="5" t="s">
        <v>24</v>
      </c>
      <c r="C145" s="5">
        <v>8524.0</v>
      </c>
      <c r="D145" s="5">
        <v>1.9</v>
      </c>
      <c r="E145" s="5">
        <v>33.8</v>
      </c>
      <c r="F145" s="5" t="s">
        <v>14</v>
      </c>
      <c r="G145" s="5" t="s">
        <v>51</v>
      </c>
      <c r="H145" s="5">
        <v>33.8</v>
      </c>
      <c r="I145" s="5">
        <v>8.0</v>
      </c>
    </row>
    <row r="146">
      <c r="A146" s="11">
        <v>8.0</v>
      </c>
      <c r="B146" s="5" t="s">
        <v>26</v>
      </c>
      <c r="C146" s="5">
        <v>7693.0</v>
      </c>
      <c r="D146" s="5">
        <v>1.7</v>
      </c>
      <c r="E146" s="5">
        <v>30.5</v>
      </c>
      <c r="F146" s="5" t="s">
        <v>14</v>
      </c>
      <c r="G146" s="5" t="s">
        <v>51</v>
      </c>
      <c r="H146" s="5">
        <v>30.5</v>
      </c>
      <c r="I146" s="5">
        <v>8.0</v>
      </c>
    </row>
    <row r="147">
      <c r="A147" s="11">
        <v>9.0</v>
      </c>
      <c r="B147" s="5" t="s">
        <v>23</v>
      </c>
      <c r="C147" s="5">
        <v>7441.0</v>
      </c>
      <c r="D147" s="5">
        <v>1.6</v>
      </c>
      <c r="E147" s="5">
        <v>29.5</v>
      </c>
      <c r="F147" s="5" t="s">
        <v>14</v>
      </c>
      <c r="G147" s="5" t="s">
        <v>51</v>
      </c>
      <c r="H147" s="5">
        <v>29.5</v>
      </c>
      <c r="I147" s="5">
        <v>8.0</v>
      </c>
    </row>
    <row r="148">
      <c r="A148" s="11">
        <v>10.0</v>
      </c>
      <c r="B148" s="5" t="s">
        <v>27</v>
      </c>
      <c r="C148" s="5">
        <v>7087.0</v>
      </c>
      <c r="D148" s="5">
        <v>1.6</v>
      </c>
      <c r="E148" s="5">
        <v>28.1</v>
      </c>
      <c r="F148" s="5" t="s">
        <v>14</v>
      </c>
      <c r="G148" s="5" t="s">
        <v>51</v>
      </c>
      <c r="H148" s="5">
        <v>28.1</v>
      </c>
      <c r="I148" s="5">
        <v>8.0</v>
      </c>
    </row>
    <row r="149">
      <c r="A149" s="11">
        <v>11.0</v>
      </c>
      <c r="B149" s="5" t="s">
        <v>21</v>
      </c>
      <c r="C149" s="5">
        <v>4561.0</v>
      </c>
      <c r="D149" s="5">
        <v>1.0</v>
      </c>
      <c r="E149" s="5">
        <v>18.1</v>
      </c>
      <c r="F149" s="5" t="s">
        <v>14</v>
      </c>
      <c r="G149" s="5" t="s">
        <v>51</v>
      </c>
      <c r="H149" s="5">
        <v>18.1</v>
      </c>
      <c r="I149" s="5">
        <v>8.0</v>
      </c>
    </row>
    <row r="150">
      <c r="A150" s="11">
        <v>12.0</v>
      </c>
      <c r="B150" s="5" t="s">
        <v>28</v>
      </c>
      <c r="C150" s="5">
        <v>4357.0</v>
      </c>
      <c r="D150" s="5">
        <v>1.0</v>
      </c>
      <c r="E150" s="5">
        <v>17.3</v>
      </c>
      <c r="F150" s="5" t="s">
        <v>14</v>
      </c>
      <c r="G150" s="5" t="s">
        <v>51</v>
      </c>
      <c r="H150" s="5">
        <v>17.3</v>
      </c>
      <c r="I150" s="5">
        <v>8.0</v>
      </c>
    </row>
    <row r="151">
      <c r="A151" s="11">
        <v>13.0</v>
      </c>
      <c r="B151" s="5" t="s">
        <v>25</v>
      </c>
      <c r="C151" s="5">
        <v>3794.0</v>
      </c>
      <c r="D151" s="5">
        <v>0.8</v>
      </c>
      <c r="E151" s="5">
        <v>15.0</v>
      </c>
      <c r="F151" s="5" t="s">
        <v>14</v>
      </c>
      <c r="G151" s="5" t="s">
        <v>51</v>
      </c>
      <c r="H151" s="5">
        <v>15.0</v>
      </c>
      <c r="I151" s="5">
        <v>8.0</v>
      </c>
    </row>
    <row r="152">
      <c r="A152" s="11">
        <v>14.0</v>
      </c>
      <c r="B152" s="5" t="s">
        <v>29</v>
      </c>
      <c r="C152" s="5">
        <v>3215.0</v>
      </c>
      <c r="D152" s="5">
        <v>0.7</v>
      </c>
      <c r="E152" s="5">
        <v>12.7</v>
      </c>
      <c r="F152" s="5" t="s">
        <v>14</v>
      </c>
      <c r="G152" s="5" t="s">
        <v>51</v>
      </c>
      <c r="H152" s="5">
        <v>12.7</v>
      </c>
      <c r="I152" s="5">
        <v>8.0</v>
      </c>
    </row>
    <row r="153">
      <c r="A153" s="11">
        <v>15.0</v>
      </c>
      <c r="B153" s="5" t="s">
        <v>35</v>
      </c>
      <c r="C153" s="5">
        <v>2773.0</v>
      </c>
      <c r="D153" s="5">
        <v>0.6</v>
      </c>
      <c r="E153" s="5">
        <v>11.0</v>
      </c>
      <c r="F153" s="5" t="s">
        <v>14</v>
      </c>
      <c r="G153" s="5" t="s">
        <v>51</v>
      </c>
      <c r="H153" s="5">
        <v>11.0</v>
      </c>
      <c r="I153" s="5">
        <v>8.0</v>
      </c>
    </row>
    <row r="154">
      <c r="A154" s="7" t="s">
        <v>12</v>
      </c>
      <c r="B154" s="5" t="s">
        <v>31</v>
      </c>
      <c r="C154" s="5">
        <v>68429.0</v>
      </c>
      <c r="D154" s="5">
        <v>15.1</v>
      </c>
      <c r="E154" s="5">
        <v>271.4</v>
      </c>
      <c r="F154" s="5" t="s">
        <v>14</v>
      </c>
      <c r="G154" s="5" t="s">
        <v>51</v>
      </c>
      <c r="H154" s="5">
        <v>271.4</v>
      </c>
      <c r="I154" s="5">
        <v>8.0</v>
      </c>
    </row>
    <row r="155">
      <c r="A155" s="7" t="s">
        <v>12</v>
      </c>
      <c r="B155" s="5" t="s">
        <v>13</v>
      </c>
      <c r="C155" s="5">
        <v>625013.0</v>
      </c>
      <c r="D155" s="5">
        <v>100.0</v>
      </c>
      <c r="E155" s="5">
        <v>4648.1</v>
      </c>
      <c r="F155" s="5" t="s">
        <v>14</v>
      </c>
      <c r="G155" s="5" t="s">
        <v>52</v>
      </c>
      <c r="H155" s="5">
        <v>4648.1</v>
      </c>
      <c r="I155" s="5">
        <v>9.0</v>
      </c>
    </row>
    <row r="156">
      <c r="A156" s="11">
        <v>1.0</v>
      </c>
      <c r="B156" s="5" t="s">
        <v>17</v>
      </c>
      <c r="C156" s="5">
        <v>153214.0</v>
      </c>
      <c r="D156" s="5">
        <v>24.5</v>
      </c>
      <c r="E156" s="5">
        <v>1139.4</v>
      </c>
      <c r="F156" s="5" t="s">
        <v>14</v>
      </c>
      <c r="G156" s="5" t="s">
        <v>52</v>
      </c>
      <c r="H156" s="5">
        <v>1139.4</v>
      </c>
      <c r="I156" s="5">
        <v>9.0</v>
      </c>
    </row>
    <row r="157">
      <c r="A157" s="11">
        <v>2.0</v>
      </c>
      <c r="B157" s="5" t="s">
        <v>16</v>
      </c>
      <c r="C157" s="5">
        <v>147255.0</v>
      </c>
      <c r="D157" s="5">
        <v>23.6</v>
      </c>
      <c r="E157" s="5">
        <v>1095.1</v>
      </c>
      <c r="F157" s="5" t="s">
        <v>14</v>
      </c>
      <c r="G157" s="5" t="s">
        <v>52</v>
      </c>
      <c r="H157" s="5">
        <v>1095.1</v>
      </c>
      <c r="I157" s="5">
        <v>9.0</v>
      </c>
    </row>
    <row r="158">
      <c r="A158" s="11">
        <v>3.0</v>
      </c>
      <c r="B158" s="5" t="s">
        <v>18</v>
      </c>
      <c r="C158" s="5">
        <v>49346.0</v>
      </c>
      <c r="D158" s="5">
        <v>7.9</v>
      </c>
      <c r="E158" s="5">
        <v>367.0</v>
      </c>
      <c r="F158" s="5" t="s">
        <v>14</v>
      </c>
      <c r="G158" s="5" t="s">
        <v>52</v>
      </c>
      <c r="H158" s="5">
        <v>367.0</v>
      </c>
      <c r="I158" s="5">
        <v>9.0</v>
      </c>
    </row>
    <row r="159">
      <c r="A159" s="11">
        <v>4.0</v>
      </c>
      <c r="B159" s="5" t="s">
        <v>20</v>
      </c>
      <c r="C159" s="5">
        <v>36151.0</v>
      </c>
      <c r="D159" s="5">
        <v>5.8</v>
      </c>
      <c r="E159" s="5">
        <v>268.9</v>
      </c>
      <c r="F159" s="5" t="s">
        <v>14</v>
      </c>
      <c r="G159" s="5" t="s">
        <v>52</v>
      </c>
      <c r="H159" s="5">
        <v>268.9</v>
      </c>
      <c r="I159" s="5">
        <v>9.0</v>
      </c>
    </row>
    <row r="160">
      <c r="A160" s="11">
        <v>5.0</v>
      </c>
      <c r="B160" s="5" t="s">
        <v>21</v>
      </c>
      <c r="C160" s="5">
        <v>23073.0</v>
      </c>
      <c r="D160" s="5">
        <v>3.7</v>
      </c>
      <c r="E160" s="5">
        <v>171.6</v>
      </c>
      <c r="F160" s="5" t="s">
        <v>14</v>
      </c>
      <c r="G160" s="5" t="s">
        <v>52</v>
      </c>
      <c r="H160" s="5">
        <v>171.6</v>
      </c>
      <c r="I160" s="5">
        <v>9.0</v>
      </c>
    </row>
    <row r="161">
      <c r="A161" s="11">
        <v>6.0</v>
      </c>
      <c r="B161" s="5" t="s">
        <v>22</v>
      </c>
      <c r="C161" s="5">
        <v>19587.0</v>
      </c>
      <c r="D161" s="5">
        <v>3.1</v>
      </c>
      <c r="E161" s="5">
        <v>145.7</v>
      </c>
      <c r="F161" s="5" t="s">
        <v>14</v>
      </c>
      <c r="G161" s="5" t="s">
        <v>52</v>
      </c>
      <c r="H161" s="5">
        <v>145.7</v>
      </c>
      <c r="I161" s="5">
        <v>9.0</v>
      </c>
    </row>
    <row r="162">
      <c r="A162" s="11">
        <v>7.0</v>
      </c>
      <c r="B162" s="5" t="s">
        <v>19</v>
      </c>
      <c r="C162" s="5">
        <v>14438.0</v>
      </c>
      <c r="D162" s="5">
        <v>2.3</v>
      </c>
      <c r="E162" s="5">
        <v>107.4</v>
      </c>
      <c r="F162" s="5" t="s">
        <v>14</v>
      </c>
      <c r="G162" s="5" t="s">
        <v>52</v>
      </c>
      <c r="H162" s="5">
        <v>107.4</v>
      </c>
      <c r="I162" s="5">
        <v>9.0</v>
      </c>
    </row>
    <row r="163">
      <c r="A163" s="11">
        <v>8.0</v>
      </c>
      <c r="B163" s="5" t="s">
        <v>23</v>
      </c>
      <c r="C163" s="5">
        <v>13949.0</v>
      </c>
      <c r="D163" s="5">
        <v>2.2</v>
      </c>
      <c r="E163" s="5">
        <v>103.7</v>
      </c>
      <c r="F163" s="5" t="s">
        <v>14</v>
      </c>
      <c r="G163" s="5" t="s">
        <v>52</v>
      </c>
      <c r="H163" s="5">
        <v>103.7</v>
      </c>
      <c r="I163" s="5">
        <v>9.0</v>
      </c>
    </row>
    <row r="164">
      <c r="A164" s="11">
        <v>9.0</v>
      </c>
      <c r="B164" s="5" t="s">
        <v>24</v>
      </c>
      <c r="C164" s="5">
        <v>13317.0</v>
      </c>
      <c r="D164" s="5">
        <v>2.1</v>
      </c>
      <c r="E164" s="5">
        <v>99.0</v>
      </c>
      <c r="F164" s="5" t="s">
        <v>14</v>
      </c>
      <c r="G164" s="5" t="s">
        <v>52</v>
      </c>
      <c r="H164" s="5">
        <v>99.0</v>
      </c>
      <c r="I164" s="5">
        <v>9.0</v>
      </c>
    </row>
    <row r="165">
      <c r="A165" s="11">
        <v>10.0</v>
      </c>
      <c r="B165" s="5" t="s">
        <v>29</v>
      </c>
      <c r="C165" s="5">
        <v>10549.0</v>
      </c>
      <c r="D165" s="5">
        <v>1.7</v>
      </c>
      <c r="E165" s="5">
        <v>78.5</v>
      </c>
      <c r="F165" s="5" t="s">
        <v>14</v>
      </c>
      <c r="G165" s="5" t="s">
        <v>52</v>
      </c>
      <c r="H165" s="5">
        <v>78.5</v>
      </c>
      <c r="I165" s="5">
        <v>9.0</v>
      </c>
    </row>
    <row r="166">
      <c r="A166" s="11">
        <v>11.0</v>
      </c>
      <c r="B166" s="5" t="s">
        <v>26</v>
      </c>
      <c r="C166" s="5">
        <v>10274.0</v>
      </c>
      <c r="D166" s="5">
        <v>1.6</v>
      </c>
      <c r="E166" s="5">
        <v>76.4</v>
      </c>
      <c r="F166" s="5" t="s">
        <v>14</v>
      </c>
      <c r="G166" s="5" t="s">
        <v>52</v>
      </c>
      <c r="H166" s="5">
        <v>76.4</v>
      </c>
      <c r="I166" s="5">
        <v>9.0</v>
      </c>
    </row>
    <row r="167">
      <c r="A167" s="11">
        <v>12.0</v>
      </c>
      <c r="B167" s="5" t="s">
        <v>28</v>
      </c>
      <c r="C167" s="5">
        <v>7216.0</v>
      </c>
      <c r="D167" s="5">
        <v>1.2</v>
      </c>
      <c r="E167" s="5">
        <v>53.7</v>
      </c>
      <c r="F167" s="5" t="s">
        <v>14</v>
      </c>
      <c r="G167" s="5" t="s">
        <v>52</v>
      </c>
      <c r="H167" s="5">
        <v>53.7</v>
      </c>
      <c r="I167" s="5">
        <v>9.0</v>
      </c>
    </row>
    <row r="168">
      <c r="A168" s="11">
        <v>13.0</v>
      </c>
      <c r="B168" s="5" t="s">
        <v>30</v>
      </c>
      <c r="C168" s="5">
        <v>4933.0</v>
      </c>
      <c r="D168" s="5">
        <v>0.8</v>
      </c>
      <c r="E168" s="5">
        <v>36.7</v>
      </c>
      <c r="F168" s="5" t="s">
        <v>14</v>
      </c>
      <c r="G168" s="5" t="s">
        <v>52</v>
      </c>
      <c r="H168" s="5">
        <v>36.7</v>
      </c>
      <c r="I168" s="5">
        <v>9.0</v>
      </c>
    </row>
    <row r="169">
      <c r="A169" s="11">
        <v>14.0</v>
      </c>
      <c r="B169" s="5" t="s">
        <v>35</v>
      </c>
      <c r="C169" s="5">
        <v>4554.0</v>
      </c>
      <c r="D169" s="5">
        <v>0.7</v>
      </c>
      <c r="E169" s="5">
        <v>33.9</v>
      </c>
      <c r="F169" s="5" t="s">
        <v>14</v>
      </c>
      <c r="G169" s="5" t="s">
        <v>52</v>
      </c>
      <c r="H169" s="5">
        <v>33.9</v>
      </c>
      <c r="I169" s="5">
        <v>9.0</v>
      </c>
    </row>
    <row r="170">
      <c r="A170" s="11">
        <v>15.0</v>
      </c>
      <c r="B170" s="5" t="s">
        <v>27</v>
      </c>
      <c r="C170" s="5">
        <v>4014.0</v>
      </c>
      <c r="D170" s="5">
        <v>0.6</v>
      </c>
      <c r="E170" s="5">
        <v>29.9</v>
      </c>
      <c r="F170" s="5" t="s">
        <v>14</v>
      </c>
      <c r="G170" s="5" t="s">
        <v>52</v>
      </c>
      <c r="H170" s="5">
        <v>29.9</v>
      </c>
      <c r="I170" s="5">
        <v>9.0</v>
      </c>
    </row>
    <row r="171">
      <c r="A171" s="7" t="s">
        <v>12</v>
      </c>
      <c r="B171" s="5" t="s">
        <v>31</v>
      </c>
      <c r="C171" s="5">
        <v>113143.0</v>
      </c>
      <c r="D171" s="5">
        <v>18.1</v>
      </c>
      <c r="E171" s="5">
        <v>841.4</v>
      </c>
      <c r="F171" s="5" t="s">
        <v>14</v>
      </c>
      <c r="G171" s="5" t="s">
        <v>52</v>
      </c>
      <c r="H171" s="5">
        <v>841.4</v>
      </c>
      <c r="I171" s="5">
        <v>9.0</v>
      </c>
    </row>
    <row r="172">
      <c r="A172" s="7" t="s">
        <v>12</v>
      </c>
      <c r="B172" s="5" t="s">
        <v>13</v>
      </c>
      <c r="C172" s="12">
        <v>825198.0</v>
      </c>
      <c r="D172" s="5">
        <v>100.0</v>
      </c>
      <c r="E172" s="5">
        <v>13660.4</v>
      </c>
      <c r="F172" s="5" t="s">
        <v>14</v>
      </c>
      <c r="G172" s="15" t="s">
        <v>53</v>
      </c>
      <c r="H172" s="12">
        <v>13660.4</v>
      </c>
      <c r="I172" s="5">
        <v>10.0</v>
      </c>
    </row>
    <row r="173">
      <c r="A173" s="11">
        <v>1.0</v>
      </c>
      <c r="B173" s="5" t="s">
        <v>16</v>
      </c>
      <c r="C173" s="5">
        <v>242469.0</v>
      </c>
      <c r="D173" s="5">
        <v>29.4</v>
      </c>
      <c r="E173" s="5">
        <v>4013.9</v>
      </c>
      <c r="F173" s="5" t="s">
        <v>14</v>
      </c>
      <c r="G173" s="5" t="s">
        <v>53</v>
      </c>
      <c r="H173" s="5">
        <v>4013.9</v>
      </c>
      <c r="I173" s="5">
        <v>10.0</v>
      </c>
    </row>
    <row r="174">
      <c r="A174" s="11">
        <v>2.0</v>
      </c>
      <c r="B174" s="5" t="s">
        <v>17</v>
      </c>
      <c r="C174" s="5">
        <v>98792.0</v>
      </c>
      <c r="D174" s="5">
        <v>12.0</v>
      </c>
      <c r="E174" s="5">
        <v>1635.4</v>
      </c>
      <c r="F174" s="5" t="s">
        <v>14</v>
      </c>
      <c r="G174" s="5" t="s">
        <v>53</v>
      </c>
      <c r="H174" s="5">
        <v>1635.4</v>
      </c>
      <c r="I174" s="5">
        <v>10.0</v>
      </c>
    </row>
    <row r="175">
      <c r="A175" s="11">
        <v>3.0</v>
      </c>
      <c r="B175" s="5" t="s">
        <v>21</v>
      </c>
      <c r="C175" s="5">
        <v>56152.0</v>
      </c>
      <c r="D175" s="5">
        <v>6.8</v>
      </c>
      <c r="E175" s="5">
        <v>929.5</v>
      </c>
      <c r="F175" s="5" t="s">
        <v>14</v>
      </c>
      <c r="G175" s="5" t="s">
        <v>53</v>
      </c>
      <c r="H175" s="5">
        <v>929.5</v>
      </c>
      <c r="I175" s="5">
        <v>10.0</v>
      </c>
    </row>
    <row r="176">
      <c r="A176" s="11">
        <v>4.0</v>
      </c>
      <c r="B176" s="5" t="s">
        <v>20</v>
      </c>
      <c r="C176" s="5">
        <v>54729.0</v>
      </c>
      <c r="D176" s="5">
        <v>6.6</v>
      </c>
      <c r="E176" s="5">
        <v>906.0</v>
      </c>
      <c r="F176" s="5" t="s">
        <v>14</v>
      </c>
      <c r="G176" s="5" t="s">
        <v>53</v>
      </c>
      <c r="H176" s="5">
        <v>906.0</v>
      </c>
      <c r="I176" s="5">
        <v>10.0</v>
      </c>
    </row>
    <row r="177">
      <c r="A177" s="11">
        <v>5.0</v>
      </c>
      <c r="B177" s="5" t="s">
        <v>18</v>
      </c>
      <c r="C177" s="5">
        <v>42245.0</v>
      </c>
      <c r="D177" s="5">
        <v>5.1</v>
      </c>
      <c r="E177" s="5">
        <v>699.3</v>
      </c>
      <c r="F177" s="5" t="s">
        <v>14</v>
      </c>
      <c r="G177" s="5" t="s">
        <v>53</v>
      </c>
      <c r="H177" s="5">
        <v>699.3</v>
      </c>
      <c r="I177" s="5">
        <v>10.0</v>
      </c>
    </row>
    <row r="178">
      <c r="A178" s="11">
        <v>6.0</v>
      </c>
      <c r="B178" s="5" t="s">
        <v>23</v>
      </c>
      <c r="C178" s="5">
        <v>26641.0</v>
      </c>
      <c r="D178" s="5">
        <v>3.2</v>
      </c>
      <c r="E178" s="5">
        <v>441.0</v>
      </c>
      <c r="F178" s="5" t="s">
        <v>14</v>
      </c>
      <c r="G178" s="5" t="s">
        <v>53</v>
      </c>
      <c r="H178" s="5">
        <v>441.0</v>
      </c>
      <c r="I178" s="5">
        <v>10.0</v>
      </c>
    </row>
    <row r="179">
      <c r="A179" s="11">
        <v>7.0</v>
      </c>
      <c r="B179" s="5" t="s">
        <v>19</v>
      </c>
      <c r="C179" s="5">
        <v>20537.0</v>
      </c>
      <c r="D179" s="5">
        <v>2.5</v>
      </c>
      <c r="E179" s="5">
        <v>340.0</v>
      </c>
      <c r="F179" s="5" t="s">
        <v>14</v>
      </c>
      <c r="G179" s="5" t="s">
        <v>53</v>
      </c>
      <c r="H179" s="5">
        <v>340.0</v>
      </c>
      <c r="I179" s="5">
        <v>10.0</v>
      </c>
    </row>
    <row r="180">
      <c r="A180" s="11">
        <v>8.0</v>
      </c>
      <c r="B180" s="5" t="s">
        <v>24</v>
      </c>
      <c r="C180" s="5">
        <v>17239.0</v>
      </c>
      <c r="D180" s="5">
        <v>2.1</v>
      </c>
      <c r="E180" s="5">
        <v>285.4</v>
      </c>
      <c r="F180" s="5" t="s">
        <v>14</v>
      </c>
      <c r="G180" s="5" t="s">
        <v>53</v>
      </c>
      <c r="H180" s="5">
        <v>285.4</v>
      </c>
      <c r="I180" s="5">
        <v>10.0</v>
      </c>
    </row>
    <row r="181">
      <c r="A181" s="11">
        <v>9.0</v>
      </c>
      <c r="B181" s="5" t="s">
        <v>22</v>
      </c>
      <c r="C181" s="5">
        <v>16885.0</v>
      </c>
      <c r="D181" s="5">
        <v>2.0</v>
      </c>
      <c r="E181" s="5">
        <v>279.5</v>
      </c>
      <c r="F181" s="5" t="s">
        <v>14</v>
      </c>
      <c r="G181" s="5" t="s">
        <v>53</v>
      </c>
      <c r="H181" s="5">
        <v>279.5</v>
      </c>
      <c r="I181" s="5">
        <v>10.0</v>
      </c>
    </row>
    <row r="182">
      <c r="A182" s="11">
        <v>10.0</v>
      </c>
      <c r="B182" s="5" t="s">
        <v>28</v>
      </c>
      <c r="C182" s="5">
        <v>13991.0</v>
      </c>
      <c r="D182" s="5">
        <v>1.7</v>
      </c>
      <c r="E182" s="5">
        <v>231.6</v>
      </c>
      <c r="F182" s="5" t="s">
        <v>14</v>
      </c>
      <c r="G182" s="5" t="s">
        <v>53</v>
      </c>
      <c r="H182" s="5">
        <v>231.6</v>
      </c>
      <c r="I182" s="5">
        <v>10.0</v>
      </c>
    </row>
    <row r="183">
      <c r="A183" s="11">
        <v>11.0</v>
      </c>
      <c r="B183" s="5" t="s">
        <v>26</v>
      </c>
      <c r="C183" s="5">
        <v>10848.0</v>
      </c>
      <c r="D183" s="5">
        <v>1.3</v>
      </c>
      <c r="E183" s="5">
        <v>179.6</v>
      </c>
      <c r="F183" s="5" t="s">
        <v>14</v>
      </c>
      <c r="G183" s="5" t="s">
        <v>53</v>
      </c>
      <c r="H183" s="5">
        <v>179.6</v>
      </c>
      <c r="I183" s="5">
        <v>10.0</v>
      </c>
    </row>
    <row r="184">
      <c r="A184" s="11">
        <v>12.0</v>
      </c>
      <c r="B184" s="5" t="s">
        <v>29</v>
      </c>
      <c r="C184" s="5">
        <v>10762.0</v>
      </c>
      <c r="D184" s="5">
        <v>1.3</v>
      </c>
      <c r="E184" s="5">
        <v>178.2</v>
      </c>
      <c r="F184" s="5" t="s">
        <v>14</v>
      </c>
      <c r="G184" s="5" t="s">
        <v>53</v>
      </c>
      <c r="H184" s="5">
        <v>178.2</v>
      </c>
      <c r="I184" s="5">
        <v>10.0</v>
      </c>
    </row>
    <row r="185">
      <c r="A185" s="11">
        <v>13.0</v>
      </c>
      <c r="B185" s="5" t="s">
        <v>30</v>
      </c>
      <c r="C185" s="5">
        <v>9218.0</v>
      </c>
      <c r="D185" s="5">
        <v>1.1</v>
      </c>
      <c r="E185" s="5">
        <v>152.6</v>
      </c>
      <c r="F185" s="5" t="s">
        <v>14</v>
      </c>
      <c r="G185" s="5" t="s">
        <v>53</v>
      </c>
      <c r="H185" s="5">
        <v>152.6</v>
      </c>
      <c r="I185" s="5">
        <v>10.0</v>
      </c>
    </row>
    <row r="186">
      <c r="A186" s="11">
        <v>14.0</v>
      </c>
      <c r="B186" s="5" t="s">
        <v>35</v>
      </c>
      <c r="C186" s="5">
        <v>5106.0</v>
      </c>
      <c r="D186" s="5">
        <v>0.6</v>
      </c>
      <c r="E186" s="5">
        <v>84.5</v>
      </c>
      <c r="F186" s="5" t="s">
        <v>14</v>
      </c>
      <c r="G186" s="5" t="s">
        <v>53</v>
      </c>
      <c r="H186" s="5">
        <v>84.5</v>
      </c>
      <c r="I186" s="5">
        <v>10.0</v>
      </c>
    </row>
    <row r="187">
      <c r="A187" s="11">
        <v>15.0</v>
      </c>
      <c r="B187" s="5" t="s">
        <v>54</v>
      </c>
      <c r="C187" s="5">
        <v>3803.0</v>
      </c>
      <c r="D187" s="5">
        <v>0.5</v>
      </c>
      <c r="E187" s="5">
        <v>63.0</v>
      </c>
      <c r="F187" s="5" t="s">
        <v>14</v>
      </c>
      <c r="G187" s="5" t="s">
        <v>53</v>
      </c>
      <c r="H187" s="5">
        <v>63.0</v>
      </c>
      <c r="I187" s="5">
        <v>10.0</v>
      </c>
    </row>
    <row r="188">
      <c r="A188" s="7" t="s">
        <v>12</v>
      </c>
      <c r="B188" s="5" t="s">
        <v>31</v>
      </c>
      <c r="C188" s="5">
        <v>195781.0</v>
      </c>
      <c r="D188" s="5">
        <v>23.7</v>
      </c>
      <c r="E188" s="5">
        <v>3241.0</v>
      </c>
      <c r="F188" s="5" t="s">
        <v>14</v>
      </c>
      <c r="G188" s="5" t="s">
        <v>53</v>
      </c>
      <c r="H188" s="5">
        <v>3241.0</v>
      </c>
      <c r="I188" s="5">
        <v>10.0</v>
      </c>
    </row>
    <row r="189">
      <c r="A189" s="7" t="s">
        <v>12</v>
      </c>
      <c r="B189" s="5" t="s">
        <v>13</v>
      </c>
      <c r="C189" s="5">
        <v>1306034.0</v>
      </c>
      <c r="D189" s="5">
        <v>100.0</v>
      </c>
      <c r="E189" s="5">
        <v>839.1</v>
      </c>
      <c r="F189" s="5" t="s">
        <v>55</v>
      </c>
      <c r="G189" s="5" t="s">
        <v>15</v>
      </c>
      <c r="H189" s="5">
        <v>839.1</v>
      </c>
      <c r="I189" s="5">
        <v>11.0</v>
      </c>
    </row>
    <row r="190">
      <c r="A190" s="11">
        <v>1.0</v>
      </c>
      <c r="B190" s="13" t="s">
        <v>16</v>
      </c>
      <c r="C190" s="5">
        <v>321347.0</v>
      </c>
      <c r="D190" s="5">
        <v>24.6</v>
      </c>
      <c r="E190" s="5">
        <v>206.5</v>
      </c>
      <c r="F190" s="5" t="s">
        <v>55</v>
      </c>
      <c r="G190" s="5" t="s">
        <v>15</v>
      </c>
      <c r="H190" s="5">
        <v>206.5</v>
      </c>
      <c r="I190" s="5">
        <v>11.0</v>
      </c>
    </row>
    <row r="191">
      <c r="A191" s="11">
        <v>2.0</v>
      </c>
      <c r="B191" s="5" t="s">
        <v>17</v>
      </c>
      <c r="C191" s="5">
        <v>307559.0</v>
      </c>
      <c r="D191" s="5">
        <v>23.5</v>
      </c>
      <c r="E191" s="5">
        <v>197.6</v>
      </c>
      <c r="F191" s="5" t="s">
        <v>55</v>
      </c>
      <c r="G191" s="5" t="s">
        <v>15</v>
      </c>
      <c r="H191" s="5">
        <v>197.6</v>
      </c>
      <c r="I191" s="5">
        <v>11.0</v>
      </c>
    </row>
    <row r="192">
      <c r="A192" s="11">
        <v>3.0</v>
      </c>
      <c r="B192" s="5" t="s">
        <v>19</v>
      </c>
      <c r="C192" s="5">
        <v>81916.0</v>
      </c>
      <c r="D192" s="5">
        <v>6.3</v>
      </c>
      <c r="E192" s="5">
        <v>52.6</v>
      </c>
      <c r="F192" s="5" t="s">
        <v>55</v>
      </c>
      <c r="G192" s="5" t="s">
        <v>15</v>
      </c>
      <c r="H192" s="5">
        <v>52.6</v>
      </c>
      <c r="I192" s="5">
        <v>11.0</v>
      </c>
    </row>
    <row r="193">
      <c r="A193" s="11">
        <v>4.0</v>
      </c>
      <c r="B193" s="5" t="s">
        <v>18</v>
      </c>
      <c r="C193" s="5">
        <v>70317.0</v>
      </c>
      <c r="D193" s="5">
        <v>5.4</v>
      </c>
      <c r="E193" s="5">
        <v>45.2</v>
      </c>
      <c r="F193" s="5" t="s">
        <v>55</v>
      </c>
      <c r="G193" s="5" t="s">
        <v>15</v>
      </c>
      <c r="H193" s="5">
        <v>45.2</v>
      </c>
      <c r="I193" s="5">
        <v>11.0</v>
      </c>
    </row>
    <row r="194">
      <c r="A194" s="11">
        <v>5.0</v>
      </c>
      <c r="B194" s="5" t="s">
        <v>20</v>
      </c>
      <c r="C194" s="5">
        <v>53691.0</v>
      </c>
      <c r="D194" s="5">
        <v>4.1</v>
      </c>
      <c r="E194" s="5">
        <v>34.5</v>
      </c>
      <c r="F194" s="5" t="s">
        <v>55</v>
      </c>
      <c r="G194" s="5" t="s">
        <v>15</v>
      </c>
      <c r="H194" s="5">
        <v>34.5</v>
      </c>
      <c r="I194" s="5">
        <v>11.0</v>
      </c>
    </row>
    <row r="195">
      <c r="A195" s="11">
        <v>6.0</v>
      </c>
      <c r="B195" s="5" t="s">
        <v>22</v>
      </c>
      <c r="C195" s="5">
        <v>39841.0</v>
      </c>
      <c r="D195" s="5">
        <v>3.1</v>
      </c>
      <c r="E195" s="5">
        <v>25.6</v>
      </c>
      <c r="F195" s="5" t="s">
        <v>55</v>
      </c>
      <c r="G195" s="5" t="s">
        <v>15</v>
      </c>
      <c r="H195" s="5">
        <v>25.6</v>
      </c>
      <c r="I195" s="5">
        <v>11.0</v>
      </c>
    </row>
    <row r="196">
      <c r="A196" s="11">
        <v>7.0</v>
      </c>
      <c r="B196" s="5" t="s">
        <v>25</v>
      </c>
      <c r="C196" s="5">
        <v>32055.0</v>
      </c>
      <c r="D196" s="5">
        <v>2.5</v>
      </c>
      <c r="E196" s="5">
        <v>20.6</v>
      </c>
      <c r="F196" s="5" t="s">
        <v>55</v>
      </c>
      <c r="G196" s="5" t="s">
        <v>15</v>
      </c>
      <c r="H196" s="5">
        <v>20.6</v>
      </c>
      <c r="I196" s="5">
        <v>11.0</v>
      </c>
    </row>
    <row r="197">
      <c r="A197" s="11">
        <v>8.0</v>
      </c>
      <c r="B197" s="5" t="s">
        <v>23</v>
      </c>
      <c r="C197" s="5">
        <v>26804.0</v>
      </c>
      <c r="D197" s="5">
        <v>2.1</v>
      </c>
      <c r="E197" s="5">
        <v>17.2</v>
      </c>
      <c r="F197" s="5" t="s">
        <v>55</v>
      </c>
      <c r="G197" s="5" t="s">
        <v>15</v>
      </c>
      <c r="H197" s="5">
        <v>17.2</v>
      </c>
      <c r="I197" s="5">
        <v>11.0</v>
      </c>
    </row>
    <row r="198">
      <c r="A198" s="11">
        <v>9.0</v>
      </c>
      <c r="B198" s="5" t="s">
        <v>21</v>
      </c>
      <c r="C198" s="5">
        <v>25836.0</v>
      </c>
      <c r="D198" s="5">
        <v>2.0</v>
      </c>
      <c r="E198" s="5">
        <v>16.6</v>
      </c>
      <c r="F198" s="5" t="s">
        <v>55</v>
      </c>
      <c r="G198" s="5" t="s">
        <v>15</v>
      </c>
      <c r="H198" s="5">
        <v>16.6</v>
      </c>
      <c r="I198" s="5">
        <v>11.0</v>
      </c>
    </row>
    <row r="199">
      <c r="A199" s="11">
        <v>10.0</v>
      </c>
      <c r="B199" s="5" t="s">
        <v>27</v>
      </c>
      <c r="C199" s="5">
        <v>23709.0</v>
      </c>
      <c r="D199" s="5">
        <v>1.8</v>
      </c>
      <c r="E199" s="5">
        <v>15.2</v>
      </c>
      <c r="F199" s="5" t="s">
        <v>55</v>
      </c>
      <c r="G199" s="5" t="s">
        <v>15</v>
      </c>
      <c r="H199" s="5">
        <v>15.2</v>
      </c>
      <c r="I199" s="5">
        <v>11.0</v>
      </c>
    </row>
    <row r="200">
      <c r="A200" s="11">
        <v>11.0</v>
      </c>
      <c r="B200" s="5" t="s">
        <v>24</v>
      </c>
      <c r="C200" s="5">
        <v>23493.0</v>
      </c>
      <c r="D200" s="5">
        <v>1.8</v>
      </c>
      <c r="E200" s="5">
        <v>15.1</v>
      </c>
      <c r="F200" s="5" t="s">
        <v>55</v>
      </c>
      <c r="G200" s="5" t="s">
        <v>15</v>
      </c>
      <c r="H200" s="5">
        <v>15.1</v>
      </c>
      <c r="I200" s="5">
        <v>11.0</v>
      </c>
    </row>
    <row r="201">
      <c r="A201" s="11">
        <v>12.0</v>
      </c>
      <c r="B201" s="5" t="s">
        <v>26</v>
      </c>
      <c r="C201" s="5">
        <v>17994.0</v>
      </c>
      <c r="D201" s="5">
        <v>1.4</v>
      </c>
      <c r="E201" s="5">
        <v>11.6</v>
      </c>
      <c r="F201" s="5" t="s">
        <v>55</v>
      </c>
      <c r="G201" s="5" t="s">
        <v>15</v>
      </c>
      <c r="H201" s="5">
        <v>11.6</v>
      </c>
      <c r="I201" s="5">
        <v>11.0</v>
      </c>
    </row>
    <row r="202">
      <c r="A202" s="11">
        <v>13.0</v>
      </c>
      <c r="B202" s="5" t="s">
        <v>29</v>
      </c>
      <c r="C202" s="5">
        <v>15088.0</v>
      </c>
      <c r="D202" s="5">
        <v>1.2</v>
      </c>
      <c r="E202" s="5">
        <v>9.7</v>
      </c>
      <c r="F202" s="5" t="s">
        <v>55</v>
      </c>
      <c r="G202" s="5" t="s">
        <v>15</v>
      </c>
      <c r="H202" s="5">
        <v>9.7</v>
      </c>
      <c r="I202" s="5">
        <v>11.0</v>
      </c>
    </row>
    <row r="203">
      <c r="A203" s="11">
        <v>14.0</v>
      </c>
      <c r="B203" s="5" t="s">
        <v>28</v>
      </c>
      <c r="C203" s="5">
        <v>12963.0</v>
      </c>
      <c r="D203" s="5">
        <v>1.0</v>
      </c>
      <c r="E203" s="5">
        <v>8.3</v>
      </c>
      <c r="F203" s="5" t="s">
        <v>55</v>
      </c>
      <c r="G203" s="5" t="s">
        <v>15</v>
      </c>
      <c r="H203" s="5">
        <v>8.3</v>
      </c>
      <c r="I203" s="5">
        <v>11.0</v>
      </c>
    </row>
    <row r="204">
      <c r="A204" s="11">
        <v>15.0</v>
      </c>
      <c r="B204" s="5" t="s">
        <v>34</v>
      </c>
      <c r="C204" s="5">
        <v>12726.0</v>
      </c>
      <c r="D204" s="5">
        <v>1.0</v>
      </c>
      <c r="E204" s="5">
        <v>8.2</v>
      </c>
      <c r="F204" s="5" t="s">
        <v>55</v>
      </c>
      <c r="G204" s="5" t="s">
        <v>15</v>
      </c>
      <c r="H204" s="5">
        <v>8.2</v>
      </c>
      <c r="I204" s="5">
        <v>11.0</v>
      </c>
    </row>
    <row r="205">
      <c r="A205" s="7" t="s">
        <v>12</v>
      </c>
      <c r="B205" s="5" t="s">
        <v>31</v>
      </c>
      <c r="C205" s="5">
        <v>240695.0</v>
      </c>
      <c r="D205" s="5">
        <v>18.4</v>
      </c>
      <c r="E205" s="5">
        <v>154.6</v>
      </c>
      <c r="F205" s="5" t="s">
        <v>55</v>
      </c>
      <c r="G205" s="5" t="s">
        <v>15</v>
      </c>
      <c r="H205" s="5">
        <v>154.6</v>
      </c>
      <c r="I205" s="5">
        <v>11.0</v>
      </c>
    </row>
    <row r="206">
      <c r="A206" s="7" t="s">
        <v>12</v>
      </c>
      <c r="B206" s="5" t="s">
        <v>13</v>
      </c>
      <c r="C206" s="5">
        <v>2323.0</v>
      </c>
      <c r="D206" s="5">
        <v>100.0</v>
      </c>
      <c r="E206" s="5">
        <v>28.6</v>
      </c>
      <c r="F206" s="5" t="s">
        <v>55</v>
      </c>
      <c r="G206" s="5" t="s">
        <v>32</v>
      </c>
      <c r="H206" s="5">
        <v>28.6</v>
      </c>
      <c r="I206" s="5">
        <v>1.0</v>
      </c>
    </row>
    <row r="207">
      <c r="A207" s="11">
        <v>1.0</v>
      </c>
      <c r="B207" s="5" t="s">
        <v>19</v>
      </c>
      <c r="C207" s="5">
        <v>831.0</v>
      </c>
      <c r="D207" s="5">
        <v>35.8</v>
      </c>
      <c r="E207" s="5">
        <v>10.2</v>
      </c>
      <c r="F207" s="5" t="s">
        <v>55</v>
      </c>
      <c r="G207" s="5" t="s">
        <v>32</v>
      </c>
      <c r="H207" s="5">
        <v>10.2</v>
      </c>
      <c r="I207" s="5">
        <v>1.0</v>
      </c>
    </row>
    <row r="208">
      <c r="A208" s="11">
        <v>2.0</v>
      </c>
      <c r="B208" s="5" t="s">
        <v>33</v>
      </c>
      <c r="C208" s="5">
        <v>232.0</v>
      </c>
      <c r="D208" s="5">
        <v>10.0</v>
      </c>
      <c r="E208" s="5">
        <v>2.9</v>
      </c>
      <c r="F208" s="5" t="s">
        <v>55</v>
      </c>
      <c r="G208" s="5" t="s">
        <v>32</v>
      </c>
      <c r="H208" s="5">
        <v>2.9</v>
      </c>
      <c r="I208" s="5">
        <v>1.0</v>
      </c>
    </row>
    <row r="209">
      <c r="A209" s="11">
        <v>3.0</v>
      </c>
      <c r="B209" s="5" t="s">
        <v>34</v>
      </c>
      <c r="C209" s="5">
        <v>184.0</v>
      </c>
      <c r="D209" s="5">
        <v>7.9</v>
      </c>
      <c r="E209" s="5">
        <v>2.3</v>
      </c>
      <c r="F209" s="5" t="s">
        <v>55</v>
      </c>
      <c r="G209" s="5" t="s">
        <v>32</v>
      </c>
      <c r="H209" s="5">
        <v>2.3</v>
      </c>
      <c r="I209" s="5">
        <v>1.0</v>
      </c>
    </row>
    <row r="210">
      <c r="A210" s="11">
        <v>4.0</v>
      </c>
      <c r="B210" s="5" t="s">
        <v>17</v>
      </c>
      <c r="C210" s="5">
        <v>183.0</v>
      </c>
      <c r="D210" s="5">
        <v>7.9</v>
      </c>
      <c r="E210" s="5">
        <v>2.2</v>
      </c>
      <c r="F210" s="5" t="s">
        <v>55</v>
      </c>
      <c r="G210" s="5" t="s">
        <v>32</v>
      </c>
      <c r="H210" s="5">
        <v>2.2</v>
      </c>
      <c r="I210" s="5">
        <v>1.0</v>
      </c>
    </row>
    <row r="211">
      <c r="A211" s="11">
        <v>5.0</v>
      </c>
      <c r="B211" s="5" t="s">
        <v>16</v>
      </c>
      <c r="C211" s="5">
        <v>96.0</v>
      </c>
      <c r="D211" s="5">
        <v>4.1</v>
      </c>
      <c r="E211" s="5">
        <v>1.2</v>
      </c>
      <c r="F211" s="5" t="s">
        <v>55</v>
      </c>
      <c r="G211" s="5" t="s">
        <v>32</v>
      </c>
      <c r="H211" s="5">
        <v>1.2</v>
      </c>
      <c r="I211" s="5">
        <v>1.0</v>
      </c>
    </row>
    <row r="212">
      <c r="A212" s="11">
        <v>6.0</v>
      </c>
      <c r="B212" s="5" t="s">
        <v>23</v>
      </c>
      <c r="C212" s="5">
        <v>53.0</v>
      </c>
      <c r="D212" s="5">
        <v>2.3</v>
      </c>
      <c r="E212" s="5">
        <v>0.7</v>
      </c>
      <c r="F212" s="5" t="s">
        <v>55</v>
      </c>
      <c r="G212" s="5" t="s">
        <v>32</v>
      </c>
      <c r="H212" s="5">
        <v>0.7</v>
      </c>
      <c r="I212" s="5">
        <v>1.0</v>
      </c>
    </row>
    <row r="213">
      <c r="A213" s="11">
        <v>7.0</v>
      </c>
      <c r="B213" s="5" t="s">
        <v>18</v>
      </c>
      <c r="C213" s="5">
        <v>38.0</v>
      </c>
      <c r="D213" s="5">
        <v>1.6</v>
      </c>
      <c r="E213" s="5">
        <v>0.5</v>
      </c>
      <c r="F213" s="5" t="s">
        <v>55</v>
      </c>
      <c r="G213" s="5" t="s">
        <v>32</v>
      </c>
      <c r="H213" s="5">
        <v>0.5</v>
      </c>
      <c r="I213" s="5">
        <v>1.0</v>
      </c>
    </row>
    <row r="214">
      <c r="A214" s="11">
        <v>8.0</v>
      </c>
      <c r="B214" s="5" t="s">
        <v>26</v>
      </c>
      <c r="C214" s="5">
        <v>32.0</v>
      </c>
      <c r="D214" s="5">
        <v>1.4</v>
      </c>
      <c r="E214" s="5">
        <v>0.4</v>
      </c>
      <c r="F214" s="5" t="s">
        <v>55</v>
      </c>
      <c r="G214" s="5" t="s">
        <v>32</v>
      </c>
      <c r="H214" s="5">
        <v>0.4</v>
      </c>
      <c r="I214" s="5">
        <v>1.0</v>
      </c>
    </row>
    <row r="215">
      <c r="A215" s="11">
        <v>9.0</v>
      </c>
      <c r="B215" s="5" t="s">
        <v>36</v>
      </c>
      <c r="C215" s="5">
        <v>29.0</v>
      </c>
      <c r="D215" s="5">
        <v>1.2</v>
      </c>
      <c r="E215" s="5">
        <v>0.4</v>
      </c>
      <c r="F215" s="5" t="s">
        <v>55</v>
      </c>
      <c r="G215" s="5" t="s">
        <v>32</v>
      </c>
      <c r="H215" s="5">
        <v>0.4</v>
      </c>
      <c r="I215" s="5">
        <v>1.0</v>
      </c>
    </row>
    <row r="216">
      <c r="A216" s="11">
        <v>10.0</v>
      </c>
      <c r="B216" s="5" t="s">
        <v>20</v>
      </c>
      <c r="C216" s="5">
        <v>22.0</v>
      </c>
      <c r="D216" s="5">
        <v>0.9</v>
      </c>
      <c r="E216" s="5">
        <v>0.3</v>
      </c>
      <c r="F216" s="5" t="s">
        <v>55</v>
      </c>
      <c r="G216" s="5" t="s">
        <v>32</v>
      </c>
      <c r="H216" s="5">
        <v>0.3</v>
      </c>
      <c r="I216" s="5">
        <v>1.0</v>
      </c>
    </row>
    <row r="217">
      <c r="A217" s="11">
        <v>11.0</v>
      </c>
      <c r="B217" s="5" t="s">
        <v>35</v>
      </c>
      <c r="C217" s="5">
        <v>19.0</v>
      </c>
      <c r="D217" s="5">
        <v>0.8</v>
      </c>
      <c r="F217" s="5" t="s">
        <v>55</v>
      </c>
      <c r="G217" s="5" t="s">
        <v>32</v>
      </c>
      <c r="H217" s="5">
        <v>0.0</v>
      </c>
      <c r="I217" s="5">
        <v>1.0</v>
      </c>
    </row>
    <row r="218">
      <c r="A218" s="11">
        <v>12.0</v>
      </c>
      <c r="B218" s="5" t="s">
        <v>37</v>
      </c>
      <c r="C218" s="5">
        <v>13.0</v>
      </c>
      <c r="D218" s="5">
        <v>0.6</v>
      </c>
      <c r="F218" s="5" t="s">
        <v>55</v>
      </c>
      <c r="G218" s="5" t="s">
        <v>32</v>
      </c>
      <c r="H218" s="5">
        <v>0.0</v>
      </c>
      <c r="I218" s="5">
        <v>1.0</v>
      </c>
    </row>
    <row r="219">
      <c r="A219" s="11">
        <v>13.0</v>
      </c>
      <c r="B219" s="5" t="s">
        <v>38</v>
      </c>
      <c r="C219" s="5">
        <v>11.0</v>
      </c>
      <c r="D219" s="5">
        <v>0.5</v>
      </c>
      <c r="F219" s="5" t="s">
        <v>55</v>
      </c>
      <c r="G219" s="5" t="s">
        <v>32</v>
      </c>
      <c r="H219" s="5">
        <v>0.0</v>
      </c>
      <c r="I219" s="5">
        <v>1.0</v>
      </c>
    </row>
    <row r="220">
      <c r="A220" s="11">
        <v>14.0</v>
      </c>
      <c r="B220" s="5" t="s">
        <v>40</v>
      </c>
      <c r="C220" s="5">
        <v>7.0</v>
      </c>
      <c r="D220" s="5">
        <v>0.3</v>
      </c>
      <c r="F220" s="5" t="s">
        <v>55</v>
      </c>
      <c r="G220" s="5" t="s">
        <v>32</v>
      </c>
      <c r="H220" s="5">
        <v>0.0</v>
      </c>
      <c r="I220" s="5">
        <v>1.0</v>
      </c>
    </row>
    <row r="221">
      <c r="A221" s="11">
        <v>14.0</v>
      </c>
      <c r="B221" s="5" t="s">
        <v>39</v>
      </c>
      <c r="C221" s="5">
        <v>7.0</v>
      </c>
      <c r="D221" s="5">
        <v>0.3</v>
      </c>
      <c r="F221" s="5" t="s">
        <v>55</v>
      </c>
      <c r="G221" s="5" t="s">
        <v>32</v>
      </c>
      <c r="H221" s="5">
        <v>0.0</v>
      </c>
      <c r="I221" s="5">
        <v>1.0</v>
      </c>
    </row>
    <row r="222">
      <c r="A222" s="7" t="s">
        <v>12</v>
      </c>
      <c r="B222" s="5" t="s">
        <v>31</v>
      </c>
      <c r="C222" s="5">
        <v>566.0</v>
      </c>
      <c r="D222" s="5">
        <v>24.4</v>
      </c>
      <c r="E222" s="5">
        <v>7.0</v>
      </c>
      <c r="F222" s="5" t="s">
        <v>55</v>
      </c>
      <c r="G222" s="5" t="s">
        <v>32</v>
      </c>
      <c r="H222" s="5">
        <v>7.0</v>
      </c>
      <c r="I222" s="5">
        <v>1.0</v>
      </c>
    </row>
    <row r="223">
      <c r="A223" s="7" t="s">
        <v>12</v>
      </c>
      <c r="B223" s="5" t="s">
        <v>13</v>
      </c>
      <c r="C223" s="5">
        <v>3077.0</v>
      </c>
      <c r="D223" s="5">
        <v>100.0</v>
      </c>
      <c r="E223" s="5">
        <v>14.6</v>
      </c>
      <c r="F223" s="5" t="s">
        <v>55</v>
      </c>
      <c r="G223" s="5" t="s">
        <v>41</v>
      </c>
      <c r="H223" s="5">
        <v>14.6</v>
      </c>
      <c r="I223" s="5">
        <v>2.0</v>
      </c>
    </row>
    <row r="224">
      <c r="A224" s="11">
        <v>1.0</v>
      </c>
      <c r="B224" s="5" t="s">
        <v>19</v>
      </c>
      <c r="C224" s="5">
        <v>950.0</v>
      </c>
      <c r="D224" s="5">
        <v>30.9</v>
      </c>
      <c r="E224" s="5">
        <v>4.5</v>
      </c>
      <c r="F224" s="5" t="s">
        <v>55</v>
      </c>
      <c r="G224" s="5" t="s">
        <v>41</v>
      </c>
      <c r="H224" s="5">
        <v>4.5</v>
      </c>
      <c r="I224" s="5">
        <v>2.0</v>
      </c>
    </row>
    <row r="225">
      <c r="A225" s="11">
        <v>2.0</v>
      </c>
      <c r="B225" s="5" t="s">
        <v>17</v>
      </c>
      <c r="C225" s="5">
        <v>471.0</v>
      </c>
      <c r="D225" s="5">
        <v>15.3</v>
      </c>
      <c r="E225" s="5">
        <v>2.2</v>
      </c>
      <c r="F225" s="5" t="s">
        <v>55</v>
      </c>
      <c r="G225" s="5" t="s">
        <v>41</v>
      </c>
      <c r="H225" s="5">
        <v>2.2</v>
      </c>
      <c r="I225" s="5">
        <v>2.0</v>
      </c>
    </row>
    <row r="226">
      <c r="A226" s="11">
        <v>3.0</v>
      </c>
      <c r="B226" s="5" t="s">
        <v>25</v>
      </c>
      <c r="C226" s="5">
        <v>252.0</v>
      </c>
      <c r="D226" s="5">
        <v>8.2</v>
      </c>
      <c r="E226" s="5">
        <v>1.2</v>
      </c>
      <c r="F226" s="5" t="s">
        <v>55</v>
      </c>
      <c r="G226" s="5" t="s">
        <v>41</v>
      </c>
      <c r="H226" s="5">
        <v>1.2</v>
      </c>
      <c r="I226" s="5">
        <v>2.0</v>
      </c>
    </row>
    <row r="227">
      <c r="A227" s="11">
        <v>4.0</v>
      </c>
      <c r="B227" s="5" t="s">
        <v>33</v>
      </c>
      <c r="C227" s="5">
        <v>176.0</v>
      </c>
      <c r="D227" s="5">
        <v>5.7</v>
      </c>
      <c r="E227" s="5">
        <v>0.8</v>
      </c>
      <c r="F227" s="5" t="s">
        <v>55</v>
      </c>
      <c r="G227" s="5" t="s">
        <v>41</v>
      </c>
      <c r="H227" s="5">
        <v>0.8</v>
      </c>
      <c r="I227" s="5">
        <v>2.0</v>
      </c>
    </row>
    <row r="228">
      <c r="A228" s="11">
        <v>5.0</v>
      </c>
      <c r="B228" s="5" t="s">
        <v>34</v>
      </c>
      <c r="C228" s="5">
        <v>168.0</v>
      </c>
      <c r="D228" s="5">
        <v>5.5</v>
      </c>
      <c r="E228" s="5">
        <v>0.8</v>
      </c>
      <c r="F228" s="5" t="s">
        <v>55</v>
      </c>
      <c r="G228" s="5" t="s">
        <v>41</v>
      </c>
      <c r="H228" s="5">
        <v>0.8</v>
      </c>
      <c r="I228" s="5">
        <v>2.0</v>
      </c>
    </row>
    <row r="229">
      <c r="A229" s="11">
        <v>6.0</v>
      </c>
      <c r="B229" s="5" t="s">
        <v>18</v>
      </c>
      <c r="C229" s="5">
        <v>100.0</v>
      </c>
      <c r="D229" s="5">
        <v>3.2</v>
      </c>
      <c r="E229" s="5">
        <v>0.5</v>
      </c>
      <c r="F229" s="5" t="s">
        <v>55</v>
      </c>
      <c r="G229" s="5" t="s">
        <v>41</v>
      </c>
      <c r="H229" s="5">
        <v>0.5</v>
      </c>
      <c r="I229" s="5">
        <v>2.0</v>
      </c>
    </row>
    <row r="230">
      <c r="A230" s="11">
        <v>7.0</v>
      </c>
      <c r="B230" s="5" t="s">
        <v>16</v>
      </c>
      <c r="C230" s="5">
        <v>93.0</v>
      </c>
      <c r="D230" s="5">
        <v>3.0</v>
      </c>
      <c r="E230" s="5">
        <v>0.4</v>
      </c>
      <c r="F230" s="5" t="s">
        <v>55</v>
      </c>
      <c r="G230" s="5" t="s">
        <v>41</v>
      </c>
      <c r="H230" s="5">
        <v>0.4</v>
      </c>
      <c r="I230" s="5">
        <v>2.0</v>
      </c>
    </row>
    <row r="231">
      <c r="A231" s="11">
        <v>8.0</v>
      </c>
      <c r="B231" s="5" t="s">
        <v>23</v>
      </c>
      <c r="C231" s="5">
        <v>70.0</v>
      </c>
      <c r="D231" s="5">
        <v>2.3</v>
      </c>
      <c r="E231" s="5">
        <v>0.3</v>
      </c>
      <c r="F231" s="5" t="s">
        <v>55</v>
      </c>
      <c r="G231" s="5" t="s">
        <v>41</v>
      </c>
      <c r="H231" s="5">
        <v>0.3</v>
      </c>
      <c r="I231" s="5">
        <v>2.0</v>
      </c>
    </row>
    <row r="232">
      <c r="A232" s="11">
        <v>9.0</v>
      </c>
      <c r="B232" s="5" t="s">
        <v>20</v>
      </c>
      <c r="C232" s="5">
        <v>44.0</v>
      </c>
      <c r="D232" s="5">
        <v>1.4</v>
      </c>
      <c r="E232" s="5">
        <v>0.2</v>
      </c>
      <c r="F232" s="5" t="s">
        <v>55</v>
      </c>
      <c r="G232" s="5" t="s">
        <v>41</v>
      </c>
      <c r="H232" s="5">
        <v>0.2</v>
      </c>
      <c r="I232" s="5">
        <v>2.0</v>
      </c>
    </row>
    <row r="233">
      <c r="A233" s="11">
        <v>10.0</v>
      </c>
      <c r="B233" s="5" t="s">
        <v>35</v>
      </c>
      <c r="C233" s="5">
        <v>40.0</v>
      </c>
      <c r="D233" s="5">
        <v>1.3</v>
      </c>
      <c r="E233" s="5">
        <v>0.2</v>
      </c>
      <c r="F233" s="5" t="s">
        <v>55</v>
      </c>
      <c r="G233" s="5" t="s">
        <v>41</v>
      </c>
      <c r="H233" s="5">
        <v>0.2</v>
      </c>
      <c r="I233" s="5">
        <v>2.0</v>
      </c>
    </row>
    <row r="234">
      <c r="A234" s="11">
        <v>11.0</v>
      </c>
      <c r="B234" s="5" t="s">
        <v>26</v>
      </c>
      <c r="C234" s="5">
        <v>32.0</v>
      </c>
      <c r="D234" s="5">
        <v>1.0</v>
      </c>
      <c r="E234" s="5">
        <v>0.2</v>
      </c>
      <c r="F234" s="5" t="s">
        <v>55</v>
      </c>
      <c r="G234" s="5" t="s">
        <v>41</v>
      </c>
      <c r="H234" s="5">
        <v>0.2</v>
      </c>
      <c r="I234" s="5">
        <v>2.0</v>
      </c>
    </row>
    <row r="235">
      <c r="A235" s="11">
        <v>12.0</v>
      </c>
      <c r="B235" s="5" t="s">
        <v>36</v>
      </c>
      <c r="C235" s="5">
        <v>17.0</v>
      </c>
      <c r="D235" s="5">
        <v>0.6</v>
      </c>
      <c r="F235" s="5" t="s">
        <v>55</v>
      </c>
      <c r="G235" s="5" t="s">
        <v>41</v>
      </c>
      <c r="H235" s="5">
        <v>0.0</v>
      </c>
      <c r="I235" s="5">
        <v>2.0</v>
      </c>
    </row>
    <row r="236">
      <c r="A236" s="11">
        <v>13.0</v>
      </c>
      <c r="B236" s="5" t="s">
        <v>39</v>
      </c>
      <c r="C236" s="5">
        <v>15.0</v>
      </c>
      <c r="D236" s="5">
        <v>0.5</v>
      </c>
      <c r="F236" s="5" t="s">
        <v>55</v>
      </c>
      <c r="G236" s="5" t="s">
        <v>41</v>
      </c>
      <c r="H236" s="5">
        <v>0.0</v>
      </c>
      <c r="I236" s="5">
        <v>2.0</v>
      </c>
    </row>
    <row r="237">
      <c r="A237" s="11">
        <v>14.0</v>
      </c>
      <c r="B237" s="5" t="s">
        <v>22</v>
      </c>
      <c r="C237" s="5">
        <v>12.0</v>
      </c>
      <c r="D237" s="5">
        <v>0.4</v>
      </c>
      <c r="F237" s="5" t="s">
        <v>55</v>
      </c>
      <c r="G237" s="5" t="s">
        <v>41</v>
      </c>
      <c r="H237" s="5">
        <v>0.0</v>
      </c>
      <c r="I237" s="5">
        <v>2.0</v>
      </c>
    </row>
    <row r="238">
      <c r="A238" s="11">
        <v>15.0</v>
      </c>
      <c r="B238" s="5" t="s">
        <v>37</v>
      </c>
      <c r="C238" s="5">
        <v>11.0</v>
      </c>
      <c r="D238" s="5">
        <v>0.4</v>
      </c>
      <c r="F238" s="5" t="s">
        <v>55</v>
      </c>
      <c r="G238" s="5" t="s">
        <v>41</v>
      </c>
      <c r="H238" s="5">
        <v>0.0</v>
      </c>
      <c r="I238" s="5">
        <v>2.0</v>
      </c>
    </row>
    <row r="239">
      <c r="A239" s="7" t="s">
        <v>12</v>
      </c>
      <c r="B239" s="5" t="s">
        <v>31</v>
      </c>
      <c r="C239" s="5">
        <v>626.0</v>
      </c>
      <c r="D239" s="5">
        <v>20.3</v>
      </c>
      <c r="E239" s="5">
        <v>3.0</v>
      </c>
      <c r="F239" s="5" t="s">
        <v>55</v>
      </c>
      <c r="G239" s="5" t="s">
        <v>41</v>
      </c>
      <c r="H239" s="5">
        <v>3.0</v>
      </c>
      <c r="I239" s="5">
        <v>2.0</v>
      </c>
    </row>
    <row r="240">
      <c r="A240" s="7" t="s">
        <v>12</v>
      </c>
      <c r="B240" s="5" t="s">
        <v>13</v>
      </c>
      <c r="C240" s="5">
        <v>20864.0</v>
      </c>
      <c r="D240" s="5">
        <v>100.0</v>
      </c>
      <c r="E240" s="5">
        <v>92.6</v>
      </c>
      <c r="F240" s="5" t="s">
        <v>55</v>
      </c>
      <c r="G240" s="5" t="s">
        <v>42</v>
      </c>
      <c r="H240" s="5">
        <v>92.6</v>
      </c>
      <c r="I240" s="5">
        <v>3.0</v>
      </c>
    </row>
    <row r="241">
      <c r="A241" s="11">
        <v>1.0</v>
      </c>
      <c r="B241" s="5" t="s">
        <v>19</v>
      </c>
      <c r="C241" s="5">
        <v>8545.0</v>
      </c>
      <c r="D241" s="5">
        <v>41.0</v>
      </c>
      <c r="E241" s="5">
        <v>37.9</v>
      </c>
      <c r="F241" s="5" t="s">
        <v>55</v>
      </c>
      <c r="G241" s="5" t="s">
        <v>42</v>
      </c>
      <c r="H241" s="5">
        <v>37.9</v>
      </c>
      <c r="I241" s="5">
        <v>3.0</v>
      </c>
    </row>
    <row r="242">
      <c r="A242" s="11">
        <v>2.0</v>
      </c>
      <c r="B242" s="5" t="s">
        <v>25</v>
      </c>
      <c r="C242" s="5">
        <v>3903.0</v>
      </c>
      <c r="D242" s="5">
        <v>18.7</v>
      </c>
      <c r="E242" s="5">
        <v>17.3</v>
      </c>
      <c r="F242" s="5" t="s">
        <v>55</v>
      </c>
      <c r="G242" s="5" t="s">
        <v>42</v>
      </c>
      <c r="H242" s="5">
        <v>17.3</v>
      </c>
      <c r="I242" s="5">
        <v>3.0</v>
      </c>
    </row>
    <row r="243">
      <c r="A243" s="11">
        <v>3.0</v>
      </c>
      <c r="B243" s="5" t="s">
        <v>34</v>
      </c>
      <c r="C243" s="5">
        <v>3765.0</v>
      </c>
      <c r="D243" s="5">
        <v>18.0</v>
      </c>
      <c r="E243" s="5">
        <v>16.7</v>
      </c>
      <c r="F243" s="5" t="s">
        <v>55</v>
      </c>
      <c r="G243" s="5" t="s">
        <v>42</v>
      </c>
      <c r="H243" s="5">
        <v>16.7</v>
      </c>
      <c r="I243" s="5">
        <v>3.0</v>
      </c>
    </row>
    <row r="244">
      <c r="A244" s="11">
        <v>4.0</v>
      </c>
      <c r="B244" s="5" t="s">
        <v>17</v>
      </c>
      <c r="C244" s="5">
        <v>859.0</v>
      </c>
      <c r="D244" s="5">
        <v>4.1</v>
      </c>
      <c r="E244" s="5">
        <v>3.8</v>
      </c>
      <c r="F244" s="5" t="s">
        <v>55</v>
      </c>
      <c r="G244" s="5" t="s">
        <v>42</v>
      </c>
      <c r="H244" s="5">
        <v>3.8</v>
      </c>
      <c r="I244" s="5">
        <v>3.0</v>
      </c>
    </row>
    <row r="245">
      <c r="A245" s="11">
        <v>5.0</v>
      </c>
      <c r="B245" s="5" t="s">
        <v>16</v>
      </c>
      <c r="C245" s="5">
        <v>628.0</v>
      </c>
      <c r="D245" s="5">
        <v>3.0</v>
      </c>
      <c r="E245" s="5">
        <v>2.8</v>
      </c>
      <c r="F245" s="5" t="s">
        <v>55</v>
      </c>
      <c r="G245" s="5" t="s">
        <v>42</v>
      </c>
      <c r="H245" s="5">
        <v>2.8</v>
      </c>
      <c r="I245" s="5">
        <v>3.0</v>
      </c>
    </row>
    <row r="246">
      <c r="A246" s="11">
        <v>6.0</v>
      </c>
      <c r="B246" s="5" t="s">
        <v>33</v>
      </c>
      <c r="C246" s="5">
        <v>223.0</v>
      </c>
      <c r="D246" s="5">
        <v>1.1</v>
      </c>
      <c r="E246" s="5">
        <v>1.0</v>
      </c>
      <c r="F246" s="5" t="s">
        <v>55</v>
      </c>
      <c r="G246" s="5" t="s">
        <v>42</v>
      </c>
      <c r="H246" s="5">
        <v>1.0</v>
      </c>
      <c r="I246" s="5">
        <v>3.0</v>
      </c>
    </row>
    <row r="247">
      <c r="A247" s="11">
        <v>7.0</v>
      </c>
      <c r="B247" s="5" t="s">
        <v>22</v>
      </c>
      <c r="C247" s="5">
        <v>120.0</v>
      </c>
      <c r="D247" s="5">
        <v>0.6</v>
      </c>
      <c r="E247" s="5">
        <v>0.5</v>
      </c>
      <c r="F247" s="5" t="s">
        <v>55</v>
      </c>
      <c r="G247" s="5" t="s">
        <v>42</v>
      </c>
      <c r="H247" s="5">
        <v>0.5</v>
      </c>
      <c r="I247" s="5">
        <v>3.0</v>
      </c>
    </row>
    <row r="248">
      <c r="A248" s="11">
        <v>8.0</v>
      </c>
      <c r="B248" s="5" t="s">
        <v>23</v>
      </c>
      <c r="C248" s="5">
        <v>114.0</v>
      </c>
      <c r="D248" s="5">
        <v>0.5</v>
      </c>
      <c r="E248" s="5">
        <v>0.5</v>
      </c>
      <c r="F248" s="5" t="s">
        <v>55</v>
      </c>
      <c r="G248" s="5" t="s">
        <v>42</v>
      </c>
      <c r="H248" s="5">
        <v>0.5</v>
      </c>
      <c r="I248" s="5">
        <v>3.0</v>
      </c>
    </row>
    <row r="249">
      <c r="A249" s="11">
        <v>9.0</v>
      </c>
      <c r="B249" s="5" t="s">
        <v>18</v>
      </c>
      <c r="C249" s="5">
        <v>101.0</v>
      </c>
      <c r="D249" s="5">
        <v>0.5</v>
      </c>
      <c r="E249" s="5">
        <v>0.4</v>
      </c>
      <c r="F249" s="5" t="s">
        <v>55</v>
      </c>
      <c r="G249" s="5" t="s">
        <v>42</v>
      </c>
      <c r="H249" s="5">
        <v>0.4</v>
      </c>
      <c r="I249" s="5">
        <v>3.0</v>
      </c>
    </row>
    <row r="250">
      <c r="A250" s="11">
        <v>10.0</v>
      </c>
      <c r="B250" s="5" t="s">
        <v>45</v>
      </c>
      <c r="C250" s="5">
        <v>95.0</v>
      </c>
      <c r="D250" s="5">
        <v>0.5</v>
      </c>
      <c r="E250" s="5">
        <v>0.4</v>
      </c>
      <c r="F250" s="5" t="s">
        <v>55</v>
      </c>
      <c r="G250" s="5" t="s">
        <v>42</v>
      </c>
      <c r="H250" s="5">
        <v>0.4</v>
      </c>
      <c r="I250" s="5">
        <v>3.0</v>
      </c>
    </row>
    <row r="251">
      <c r="A251" s="11">
        <v>11.0</v>
      </c>
      <c r="B251" s="5" t="s">
        <v>20</v>
      </c>
      <c r="C251" s="5">
        <v>85.0</v>
      </c>
      <c r="D251" s="5">
        <v>0.4</v>
      </c>
      <c r="E251" s="5">
        <v>0.4</v>
      </c>
      <c r="F251" s="5" t="s">
        <v>55</v>
      </c>
      <c r="G251" s="5" t="s">
        <v>42</v>
      </c>
      <c r="H251" s="5">
        <v>0.4</v>
      </c>
      <c r="I251" s="5">
        <v>3.0</v>
      </c>
    </row>
    <row r="252">
      <c r="A252" s="11">
        <v>12.0</v>
      </c>
      <c r="B252" s="5" t="s">
        <v>44</v>
      </c>
      <c r="C252" s="5">
        <v>81.0</v>
      </c>
      <c r="D252" s="5">
        <v>0.4</v>
      </c>
      <c r="E252" s="5">
        <v>0.4</v>
      </c>
      <c r="F252" s="5" t="s">
        <v>55</v>
      </c>
      <c r="G252" s="5" t="s">
        <v>42</v>
      </c>
      <c r="H252" s="5">
        <v>0.4</v>
      </c>
      <c r="I252" s="5">
        <v>3.0</v>
      </c>
    </row>
    <row r="253">
      <c r="A253" s="11">
        <v>13.0</v>
      </c>
      <c r="B253" s="5" t="s">
        <v>26</v>
      </c>
      <c r="C253" s="5">
        <v>74.0</v>
      </c>
      <c r="D253" s="5">
        <v>0.4</v>
      </c>
      <c r="E253" s="5">
        <v>0.3</v>
      </c>
      <c r="F253" s="5" t="s">
        <v>55</v>
      </c>
      <c r="G253" s="5" t="s">
        <v>42</v>
      </c>
      <c r="H253" s="5">
        <v>0.3</v>
      </c>
      <c r="I253" s="5">
        <v>3.0</v>
      </c>
    </row>
    <row r="254">
      <c r="A254" s="11">
        <v>14.0</v>
      </c>
      <c r="B254" s="5" t="s">
        <v>35</v>
      </c>
      <c r="C254" s="5">
        <v>57.0</v>
      </c>
      <c r="D254" s="5">
        <v>0.3</v>
      </c>
      <c r="E254" s="5">
        <v>0.3</v>
      </c>
      <c r="F254" s="5" t="s">
        <v>55</v>
      </c>
      <c r="G254" s="5" t="s">
        <v>42</v>
      </c>
      <c r="H254" s="5">
        <v>0.3</v>
      </c>
      <c r="I254" s="5">
        <v>3.0</v>
      </c>
    </row>
    <row r="255">
      <c r="A255" s="11">
        <v>15.0</v>
      </c>
      <c r="B255" s="5" t="s">
        <v>38</v>
      </c>
      <c r="C255" s="5">
        <v>54.0</v>
      </c>
      <c r="D255" s="5">
        <v>0.3</v>
      </c>
      <c r="E255" s="5">
        <v>0.2</v>
      </c>
      <c r="F255" s="5" t="s">
        <v>55</v>
      </c>
      <c r="G255" s="5" t="s">
        <v>42</v>
      </c>
      <c r="H255" s="5">
        <v>0.2</v>
      </c>
      <c r="I255" s="5">
        <v>3.0</v>
      </c>
    </row>
    <row r="256">
      <c r="A256" s="7" t="s">
        <v>12</v>
      </c>
      <c r="B256" s="5" t="s">
        <v>31</v>
      </c>
      <c r="C256" s="5">
        <v>2160.0</v>
      </c>
      <c r="D256" s="5">
        <v>10.4</v>
      </c>
      <c r="E256" s="5">
        <v>9.6</v>
      </c>
      <c r="F256" s="5" t="s">
        <v>55</v>
      </c>
      <c r="G256" s="5" t="s">
        <v>42</v>
      </c>
      <c r="H256" s="5">
        <v>9.6</v>
      </c>
      <c r="I256" s="5">
        <v>3.0</v>
      </c>
    </row>
    <row r="257">
      <c r="A257" s="7" t="s">
        <v>12</v>
      </c>
      <c r="B257" s="5" t="s">
        <v>13</v>
      </c>
      <c r="C257" s="5">
        <v>31462.0</v>
      </c>
      <c r="D257" s="5">
        <v>100.0</v>
      </c>
      <c r="E257" s="5">
        <v>145.4</v>
      </c>
      <c r="F257" s="5" t="s">
        <v>55</v>
      </c>
      <c r="G257" s="5" t="s">
        <v>46</v>
      </c>
      <c r="H257" s="5">
        <v>145.4</v>
      </c>
      <c r="I257" s="5">
        <v>4.0</v>
      </c>
    </row>
    <row r="258">
      <c r="A258" s="11">
        <v>1.0</v>
      </c>
      <c r="B258" s="5" t="s">
        <v>19</v>
      </c>
      <c r="C258" s="5">
        <v>12025.0</v>
      </c>
      <c r="D258" s="5">
        <v>38.2</v>
      </c>
      <c r="E258" s="5">
        <v>55.6</v>
      </c>
      <c r="F258" s="5" t="s">
        <v>55</v>
      </c>
      <c r="G258" s="5" t="s">
        <v>46</v>
      </c>
      <c r="H258" s="5">
        <v>55.6</v>
      </c>
      <c r="I258" s="5">
        <v>4.0</v>
      </c>
    </row>
    <row r="259">
      <c r="A259" s="11">
        <v>2.0</v>
      </c>
      <c r="B259" s="5" t="s">
        <v>25</v>
      </c>
      <c r="C259" s="5">
        <v>5063.0</v>
      </c>
      <c r="D259" s="5">
        <v>16.1</v>
      </c>
      <c r="E259" s="5">
        <v>23.4</v>
      </c>
      <c r="F259" s="5" t="s">
        <v>55</v>
      </c>
      <c r="G259" s="5" t="s">
        <v>46</v>
      </c>
      <c r="H259" s="5">
        <v>23.4</v>
      </c>
      <c r="I259" s="5">
        <v>4.0</v>
      </c>
    </row>
    <row r="260">
      <c r="A260" s="11">
        <v>3.0</v>
      </c>
      <c r="B260" s="5" t="s">
        <v>34</v>
      </c>
      <c r="C260" s="5">
        <v>3555.0</v>
      </c>
      <c r="D260" s="5">
        <v>11.3</v>
      </c>
      <c r="E260" s="5">
        <v>16.4</v>
      </c>
      <c r="F260" s="5" t="s">
        <v>55</v>
      </c>
      <c r="G260" s="5" t="s">
        <v>46</v>
      </c>
      <c r="H260" s="5">
        <v>16.4</v>
      </c>
      <c r="I260" s="5">
        <v>4.0</v>
      </c>
    </row>
    <row r="261">
      <c r="A261" s="11">
        <v>4.0</v>
      </c>
      <c r="B261" s="5" t="s">
        <v>16</v>
      </c>
      <c r="C261" s="5">
        <v>2214.0</v>
      </c>
      <c r="D261" s="5">
        <v>7.0</v>
      </c>
      <c r="E261" s="5">
        <v>10.2</v>
      </c>
      <c r="F261" s="5" t="s">
        <v>55</v>
      </c>
      <c r="G261" s="5" t="s">
        <v>46</v>
      </c>
      <c r="H261" s="5">
        <v>10.2</v>
      </c>
      <c r="I261" s="5">
        <v>4.0</v>
      </c>
    </row>
    <row r="262">
      <c r="A262" s="11">
        <v>5.0</v>
      </c>
      <c r="B262" s="5" t="s">
        <v>17</v>
      </c>
      <c r="C262" s="5">
        <v>1857.0</v>
      </c>
      <c r="D262" s="5">
        <v>5.9</v>
      </c>
      <c r="E262" s="5">
        <v>8.6</v>
      </c>
      <c r="F262" s="5" t="s">
        <v>55</v>
      </c>
      <c r="G262" s="5" t="s">
        <v>46</v>
      </c>
      <c r="H262" s="5">
        <v>8.6</v>
      </c>
      <c r="I262" s="5">
        <v>4.0</v>
      </c>
    </row>
    <row r="263">
      <c r="A263" s="11">
        <v>6.0</v>
      </c>
      <c r="B263" s="5" t="s">
        <v>44</v>
      </c>
      <c r="C263" s="5">
        <v>457.0</v>
      </c>
      <c r="D263" s="5">
        <v>1.5</v>
      </c>
      <c r="E263" s="5">
        <v>2.1</v>
      </c>
      <c r="F263" s="5" t="s">
        <v>55</v>
      </c>
      <c r="G263" s="5" t="s">
        <v>46</v>
      </c>
      <c r="H263" s="5">
        <v>2.1</v>
      </c>
      <c r="I263" s="5">
        <v>4.0</v>
      </c>
    </row>
    <row r="264">
      <c r="A264" s="11">
        <v>7.0</v>
      </c>
      <c r="B264" s="5" t="s">
        <v>27</v>
      </c>
      <c r="C264" s="5">
        <v>435.0</v>
      </c>
      <c r="D264" s="5">
        <v>1.4</v>
      </c>
      <c r="E264" s="5">
        <v>2.0</v>
      </c>
      <c r="F264" s="5" t="s">
        <v>55</v>
      </c>
      <c r="G264" s="5" t="s">
        <v>46</v>
      </c>
      <c r="H264" s="5">
        <v>2.0</v>
      </c>
      <c r="I264" s="5">
        <v>4.0</v>
      </c>
    </row>
    <row r="265">
      <c r="A265" s="11">
        <v>8.0</v>
      </c>
      <c r="B265" s="5" t="s">
        <v>22</v>
      </c>
      <c r="C265" s="5">
        <v>403.0</v>
      </c>
      <c r="D265" s="5">
        <v>1.3</v>
      </c>
      <c r="E265" s="5">
        <v>1.9</v>
      </c>
      <c r="F265" s="5" t="s">
        <v>55</v>
      </c>
      <c r="G265" s="5" t="s">
        <v>46</v>
      </c>
      <c r="H265" s="5">
        <v>1.9</v>
      </c>
      <c r="I265" s="5">
        <v>4.0</v>
      </c>
    </row>
    <row r="266">
      <c r="A266" s="11">
        <v>9.0</v>
      </c>
      <c r="B266" s="5" t="s">
        <v>20</v>
      </c>
      <c r="C266" s="5">
        <v>279.0</v>
      </c>
      <c r="D266" s="5">
        <v>0.9</v>
      </c>
      <c r="E266" s="5">
        <v>1.3</v>
      </c>
      <c r="F266" s="5" t="s">
        <v>55</v>
      </c>
      <c r="G266" s="5" t="s">
        <v>46</v>
      </c>
      <c r="H266" s="5">
        <v>1.3</v>
      </c>
      <c r="I266" s="5">
        <v>4.0</v>
      </c>
    </row>
    <row r="267">
      <c r="A267" s="11">
        <v>10.0</v>
      </c>
      <c r="B267" s="5" t="s">
        <v>23</v>
      </c>
      <c r="C267" s="5">
        <v>253.0</v>
      </c>
      <c r="D267" s="5">
        <v>0.8</v>
      </c>
      <c r="E267" s="5">
        <v>1.2</v>
      </c>
      <c r="F267" s="5" t="s">
        <v>55</v>
      </c>
      <c r="G267" s="5" t="s">
        <v>46</v>
      </c>
      <c r="H267" s="5">
        <v>1.2</v>
      </c>
      <c r="I267" s="5">
        <v>4.0</v>
      </c>
    </row>
    <row r="268">
      <c r="A268" s="11">
        <v>11.0</v>
      </c>
      <c r="B268" s="5" t="s">
        <v>33</v>
      </c>
      <c r="C268" s="5">
        <v>240.0</v>
      </c>
      <c r="D268" s="5">
        <v>0.8</v>
      </c>
      <c r="E268" s="5">
        <v>1.1</v>
      </c>
      <c r="F268" s="5" t="s">
        <v>55</v>
      </c>
      <c r="G268" s="5" t="s">
        <v>46</v>
      </c>
      <c r="H268" s="5">
        <v>1.1</v>
      </c>
      <c r="I268" s="5">
        <v>4.0</v>
      </c>
    </row>
    <row r="269">
      <c r="A269" s="11">
        <v>12.0</v>
      </c>
      <c r="B269" s="5" t="s">
        <v>26</v>
      </c>
      <c r="C269" s="5">
        <v>178.0</v>
      </c>
      <c r="D269" s="5">
        <v>0.6</v>
      </c>
      <c r="E269" s="5">
        <v>0.8</v>
      </c>
      <c r="F269" s="5" t="s">
        <v>55</v>
      </c>
      <c r="G269" s="5" t="s">
        <v>46</v>
      </c>
      <c r="H269" s="5">
        <v>0.8</v>
      </c>
      <c r="I269" s="5">
        <v>4.0</v>
      </c>
    </row>
    <row r="270">
      <c r="A270" s="11">
        <v>13.0</v>
      </c>
      <c r="B270" s="5" t="s">
        <v>18</v>
      </c>
      <c r="C270" s="5">
        <v>160.0</v>
      </c>
      <c r="D270" s="5">
        <v>0.5</v>
      </c>
      <c r="E270" s="5">
        <v>0.7</v>
      </c>
      <c r="F270" s="5" t="s">
        <v>55</v>
      </c>
      <c r="G270" s="5" t="s">
        <v>46</v>
      </c>
      <c r="H270" s="5">
        <v>0.7</v>
      </c>
      <c r="I270" s="5">
        <v>4.0</v>
      </c>
    </row>
    <row r="271">
      <c r="A271" s="11">
        <v>14.0</v>
      </c>
      <c r="B271" s="5" t="s">
        <v>45</v>
      </c>
      <c r="C271" s="5">
        <v>141.0</v>
      </c>
      <c r="D271" s="5">
        <v>0.4</v>
      </c>
      <c r="E271" s="5">
        <v>0.7</v>
      </c>
      <c r="F271" s="5" t="s">
        <v>55</v>
      </c>
      <c r="G271" s="5" t="s">
        <v>46</v>
      </c>
      <c r="H271" s="5">
        <v>0.7</v>
      </c>
      <c r="I271" s="5">
        <v>4.0</v>
      </c>
    </row>
    <row r="272">
      <c r="A272" s="11">
        <v>15.0</v>
      </c>
      <c r="B272" s="5" t="s">
        <v>24</v>
      </c>
      <c r="C272" s="5">
        <v>140.0</v>
      </c>
      <c r="D272" s="5">
        <v>0.4</v>
      </c>
      <c r="E272" s="5">
        <v>0.6</v>
      </c>
      <c r="F272" s="5" t="s">
        <v>55</v>
      </c>
      <c r="G272" s="5" t="s">
        <v>46</v>
      </c>
      <c r="H272" s="5">
        <v>0.6</v>
      </c>
      <c r="I272" s="5">
        <v>4.0</v>
      </c>
    </row>
    <row r="273">
      <c r="A273" s="7" t="s">
        <v>12</v>
      </c>
      <c r="B273" s="5" t="s">
        <v>31</v>
      </c>
      <c r="C273" s="5">
        <v>4062.0</v>
      </c>
      <c r="D273" s="5">
        <v>12.9</v>
      </c>
      <c r="E273" s="5">
        <v>18.8</v>
      </c>
      <c r="F273" s="5" t="s">
        <v>55</v>
      </c>
      <c r="G273" s="5" t="s">
        <v>46</v>
      </c>
      <c r="H273" s="5">
        <v>18.8</v>
      </c>
      <c r="I273" s="5">
        <v>4.0</v>
      </c>
    </row>
    <row r="274">
      <c r="A274" s="7" t="s">
        <v>12</v>
      </c>
      <c r="B274" s="5" t="s">
        <v>13</v>
      </c>
      <c r="C274" s="5">
        <v>43072.0</v>
      </c>
      <c r="D274" s="5">
        <v>100.0</v>
      </c>
      <c r="E274" s="5">
        <v>213.8</v>
      </c>
      <c r="F274" s="5" t="s">
        <v>55</v>
      </c>
      <c r="G274" s="5" t="s">
        <v>47</v>
      </c>
      <c r="H274" s="5">
        <v>213.8</v>
      </c>
      <c r="I274" s="5">
        <v>5.0</v>
      </c>
    </row>
    <row r="275">
      <c r="A275" s="11">
        <v>1.0</v>
      </c>
      <c r="B275" s="5" t="s">
        <v>19</v>
      </c>
      <c r="C275" s="5">
        <v>10566.0</v>
      </c>
      <c r="D275" s="5">
        <v>24.5</v>
      </c>
      <c r="E275" s="5">
        <v>52.4</v>
      </c>
      <c r="F275" s="5" t="s">
        <v>55</v>
      </c>
      <c r="G275" s="5" t="s">
        <v>47</v>
      </c>
      <c r="H275" s="5">
        <v>52.4</v>
      </c>
      <c r="I275" s="5">
        <v>5.0</v>
      </c>
    </row>
    <row r="276">
      <c r="A276" s="11">
        <v>2.0</v>
      </c>
      <c r="B276" s="5" t="s">
        <v>16</v>
      </c>
      <c r="C276" s="5">
        <v>7152.0</v>
      </c>
      <c r="D276" s="5">
        <v>16.6</v>
      </c>
      <c r="E276" s="5">
        <v>35.5</v>
      </c>
      <c r="F276" s="5" t="s">
        <v>55</v>
      </c>
      <c r="G276" s="5" t="s">
        <v>47</v>
      </c>
      <c r="H276" s="5">
        <v>35.5</v>
      </c>
      <c r="I276" s="5">
        <v>5.0</v>
      </c>
    </row>
    <row r="277">
      <c r="A277" s="11">
        <v>3.0</v>
      </c>
      <c r="B277" s="5" t="s">
        <v>25</v>
      </c>
      <c r="C277" s="5">
        <v>5003.0</v>
      </c>
      <c r="D277" s="5">
        <v>11.6</v>
      </c>
      <c r="E277" s="5">
        <v>24.8</v>
      </c>
      <c r="F277" s="5" t="s">
        <v>55</v>
      </c>
      <c r="G277" s="5" t="s">
        <v>47</v>
      </c>
      <c r="H277" s="5">
        <v>24.8</v>
      </c>
      <c r="I277" s="5">
        <v>5.0</v>
      </c>
    </row>
    <row r="278">
      <c r="A278" s="11">
        <v>4.0</v>
      </c>
      <c r="B278" s="5" t="s">
        <v>17</v>
      </c>
      <c r="C278" s="5">
        <v>4827.0</v>
      </c>
      <c r="D278" s="5">
        <v>11.2</v>
      </c>
      <c r="E278" s="5">
        <v>24.0</v>
      </c>
      <c r="F278" s="5" t="s">
        <v>55</v>
      </c>
      <c r="G278" s="5" t="s">
        <v>47</v>
      </c>
      <c r="H278" s="5">
        <v>24.0</v>
      </c>
      <c r="I278" s="5">
        <v>5.0</v>
      </c>
    </row>
    <row r="279">
      <c r="A279" s="11">
        <v>5.0</v>
      </c>
      <c r="B279" s="5" t="s">
        <v>34</v>
      </c>
      <c r="C279" s="5">
        <v>2025.0</v>
      </c>
      <c r="D279" s="5">
        <v>4.7</v>
      </c>
      <c r="E279" s="5">
        <v>10.1</v>
      </c>
      <c r="F279" s="5" t="s">
        <v>55</v>
      </c>
      <c r="G279" s="5" t="s">
        <v>47</v>
      </c>
      <c r="H279" s="5">
        <v>10.1</v>
      </c>
      <c r="I279" s="5">
        <v>5.0</v>
      </c>
    </row>
    <row r="280">
      <c r="A280" s="11">
        <v>6.0</v>
      </c>
      <c r="B280" s="5" t="s">
        <v>27</v>
      </c>
      <c r="C280" s="5">
        <v>1620.0</v>
      </c>
      <c r="D280" s="5">
        <v>3.8</v>
      </c>
      <c r="E280" s="5">
        <v>8.0</v>
      </c>
      <c r="F280" s="5" t="s">
        <v>55</v>
      </c>
      <c r="G280" s="5" t="s">
        <v>47</v>
      </c>
      <c r="H280" s="5">
        <v>8.0</v>
      </c>
      <c r="I280" s="5">
        <v>5.0</v>
      </c>
    </row>
    <row r="281">
      <c r="A281" s="11">
        <v>7.0</v>
      </c>
      <c r="B281" s="5" t="s">
        <v>22</v>
      </c>
      <c r="C281" s="5">
        <v>1211.0</v>
      </c>
      <c r="D281" s="5">
        <v>2.8</v>
      </c>
      <c r="E281" s="5">
        <v>6.0</v>
      </c>
      <c r="F281" s="5" t="s">
        <v>55</v>
      </c>
      <c r="G281" s="5" t="s">
        <v>47</v>
      </c>
      <c r="H281" s="5">
        <v>6.0</v>
      </c>
      <c r="I281" s="5">
        <v>5.0</v>
      </c>
    </row>
    <row r="282">
      <c r="A282" s="11">
        <v>8.0</v>
      </c>
      <c r="B282" s="5" t="s">
        <v>20</v>
      </c>
      <c r="C282" s="5">
        <v>938.0</v>
      </c>
      <c r="D282" s="5">
        <v>2.2</v>
      </c>
      <c r="E282" s="5">
        <v>4.7</v>
      </c>
      <c r="F282" s="5" t="s">
        <v>55</v>
      </c>
      <c r="G282" s="5" t="s">
        <v>47</v>
      </c>
      <c r="H282" s="5">
        <v>4.7</v>
      </c>
      <c r="I282" s="5">
        <v>5.0</v>
      </c>
    </row>
    <row r="283">
      <c r="A283" s="11">
        <v>9.0</v>
      </c>
      <c r="B283" s="5" t="s">
        <v>44</v>
      </c>
      <c r="C283" s="5">
        <v>842.0</v>
      </c>
      <c r="D283" s="5">
        <v>2.0</v>
      </c>
      <c r="E283" s="5">
        <v>4.2</v>
      </c>
      <c r="F283" s="5" t="s">
        <v>55</v>
      </c>
      <c r="G283" s="5" t="s">
        <v>47</v>
      </c>
      <c r="H283" s="5">
        <v>4.2</v>
      </c>
      <c r="I283" s="5">
        <v>5.0</v>
      </c>
    </row>
    <row r="284">
      <c r="A284" s="11">
        <v>10.0</v>
      </c>
      <c r="B284" s="5" t="s">
        <v>23</v>
      </c>
      <c r="C284" s="5">
        <v>464.0</v>
      </c>
      <c r="D284" s="5">
        <v>1.1</v>
      </c>
      <c r="E284" s="5">
        <v>2.3</v>
      </c>
      <c r="F284" s="5" t="s">
        <v>55</v>
      </c>
      <c r="G284" s="5" t="s">
        <v>47</v>
      </c>
      <c r="H284" s="5">
        <v>2.3</v>
      </c>
      <c r="I284" s="5">
        <v>5.0</v>
      </c>
    </row>
    <row r="285">
      <c r="A285" s="11">
        <v>11.0</v>
      </c>
      <c r="B285" s="5" t="s">
        <v>26</v>
      </c>
      <c r="C285" s="5">
        <v>397.0</v>
      </c>
      <c r="D285" s="5">
        <v>0.9</v>
      </c>
      <c r="E285" s="5">
        <v>2.0</v>
      </c>
      <c r="F285" s="5" t="s">
        <v>55</v>
      </c>
      <c r="G285" s="5" t="s">
        <v>47</v>
      </c>
      <c r="H285" s="5">
        <v>2.0</v>
      </c>
      <c r="I285" s="5">
        <v>5.0</v>
      </c>
    </row>
    <row r="286">
      <c r="A286" s="11">
        <v>12.0</v>
      </c>
      <c r="B286" s="5" t="s">
        <v>18</v>
      </c>
      <c r="C286" s="5">
        <v>365.0</v>
      </c>
      <c r="D286" s="5">
        <v>0.8</v>
      </c>
      <c r="E286" s="5">
        <v>1.8</v>
      </c>
      <c r="F286" s="5" t="s">
        <v>55</v>
      </c>
      <c r="G286" s="5" t="s">
        <v>47</v>
      </c>
      <c r="H286" s="5">
        <v>1.8</v>
      </c>
      <c r="I286" s="5">
        <v>5.0</v>
      </c>
    </row>
    <row r="287">
      <c r="A287" s="11">
        <v>13.0</v>
      </c>
      <c r="B287" s="5" t="s">
        <v>24</v>
      </c>
      <c r="C287" s="5">
        <v>342.0</v>
      </c>
      <c r="D287" s="5">
        <v>0.8</v>
      </c>
      <c r="E287" s="5">
        <v>1.7</v>
      </c>
      <c r="F287" s="5" t="s">
        <v>55</v>
      </c>
      <c r="G287" s="5" t="s">
        <v>47</v>
      </c>
      <c r="H287" s="5">
        <v>1.7</v>
      </c>
      <c r="I287" s="5">
        <v>5.0</v>
      </c>
    </row>
    <row r="288">
      <c r="A288" s="11">
        <v>14.0</v>
      </c>
      <c r="B288" s="5" t="s">
        <v>28</v>
      </c>
      <c r="C288" s="5">
        <v>264.0</v>
      </c>
      <c r="D288" s="5">
        <v>0.6</v>
      </c>
      <c r="E288" s="5">
        <v>1.3</v>
      </c>
      <c r="F288" s="5" t="s">
        <v>55</v>
      </c>
      <c r="G288" s="5" t="s">
        <v>47</v>
      </c>
      <c r="H288" s="5">
        <v>1.3</v>
      </c>
      <c r="I288" s="5">
        <v>5.0</v>
      </c>
    </row>
    <row r="289">
      <c r="A289" s="11">
        <v>15.0</v>
      </c>
      <c r="B289" s="5" t="s">
        <v>33</v>
      </c>
      <c r="C289" s="5">
        <v>251.0</v>
      </c>
      <c r="D289" s="5">
        <v>0.6</v>
      </c>
      <c r="E289" s="5">
        <v>1.2</v>
      </c>
      <c r="F289" s="5" t="s">
        <v>55</v>
      </c>
      <c r="G289" s="5" t="s">
        <v>47</v>
      </c>
      <c r="H289" s="5">
        <v>1.2</v>
      </c>
      <c r="I289" s="5">
        <v>5.0</v>
      </c>
    </row>
    <row r="290">
      <c r="A290" s="7" t="s">
        <v>12</v>
      </c>
      <c r="B290" s="5" t="s">
        <v>31</v>
      </c>
      <c r="C290" s="5">
        <v>6805.0</v>
      </c>
      <c r="D290" s="5">
        <v>15.8</v>
      </c>
      <c r="E290" s="5">
        <v>33.8</v>
      </c>
      <c r="F290" s="5" t="s">
        <v>55</v>
      </c>
      <c r="G290" s="5" t="s">
        <v>47</v>
      </c>
      <c r="H290" s="5">
        <v>33.8</v>
      </c>
      <c r="I290" s="5">
        <v>5.0</v>
      </c>
    </row>
    <row r="291">
      <c r="A291" s="7" t="s">
        <v>12</v>
      </c>
      <c r="B291" s="5" t="s">
        <v>13</v>
      </c>
      <c r="C291" s="5">
        <v>107997.0</v>
      </c>
      <c r="D291" s="5">
        <v>100.0</v>
      </c>
      <c r="E291" s="5">
        <v>500.7</v>
      </c>
      <c r="F291" s="5" t="s">
        <v>55</v>
      </c>
      <c r="G291" s="5" t="s">
        <v>48</v>
      </c>
      <c r="H291" s="5">
        <v>500.7</v>
      </c>
      <c r="I291" s="5">
        <v>6.0</v>
      </c>
    </row>
    <row r="292">
      <c r="A292" s="11">
        <v>1.0</v>
      </c>
      <c r="B292" s="5" t="s">
        <v>16</v>
      </c>
      <c r="C292" s="5">
        <v>24830.0</v>
      </c>
      <c r="D292" s="5">
        <v>23.0</v>
      </c>
      <c r="E292" s="5">
        <v>115.1</v>
      </c>
      <c r="F292" s="5" t="s">
        <v>55</v>
      </c>
      <c r="G292" s="5" t="s">
        <v>48</v>
      </c>
      <c r="H292" s="5">
        <v>115.1</v>
      </c>
      <c r="I292" s="5">
        <v>6.0</v>
      </c>
    </row>
    <row r="293">
      <c r="A293" s="11">
        <v>2.0</v>
      </c>
      <c r="B293" s="5" t="s">
        <v>17</v>
      </c>
      <c r="C293" s="5">
        <v>22966.0</v>
      </c>
      <c r="D293" s="5">
        <v>21.3</v>
      </c>
      <c r="E293" s="5">
        <v>106.5</v>
      </c>
      <c r="F293" s="5" t="s">
        <v>55</v>
      </c>
      <c r="G293" s="5" t="s">
        <v>48</v>
      </c>
      <c r="H293" s="5">
        <v>106.5</v>
      </c>
      <c r="I293" s="5">
        <v>6.0</v>
      </c>
    </row>
    <row r="294">
      <c r="A294" s="11">
        <v>3.0</v>
      </c>
      <c r="B294" s="5" t="s">
        <v>19</v>
      </c>
      <c r="C294" s="5">
        <v>13591.0</v>
      </c>
      <c r="D294" s="5">
        <v>12.6</v>
      </c>
      <c r="E294" s="5">
        <v>63.0</v>
      </c>
      <c r="F294" s="5" t="s">
        <v>55</v>
      </c>
      <c r="G294" s="5" t="s">
        <v>48</v>
      </c>
      <c r="H294" s="5">
        <v>63.0</v>
      </c>
      <c r="I294" s="5">
        <v>6.0</v>
      </c>
    </row>
    <row r="295">
      <c r="A295" s="11">
        <v>4.0</v>
      </c>
      <c r="B295" s="5" t="s">
        <v>25</v>
      </c>
      <c r="C295" s="5">
        <v>6393.0</v>
      </c>
      <c r="D295" s="5">
        <v>5.9</v>
      </c>
      <c r="E295" s="5">
        <v>29.6</v>
      </c>
      <c r="F295" s="5" t="s">
        <v>55</v>
      </c>
      <c r="G295" s="5" t="s">
        <v>48</v>
      </c>
      <c r="H295" s="5">
        <v>29.6</v>
      </c>
      <c r="I295" s="5">
        <v>6.0</v>
      </c>
    </row>
    <row r="296">
      <c r="A296" s="11">
        <v>5.0</v>
      </c>
      <c r="B296" s="5" t="s">
        <v>27</v>
      </c>
      <c r="C296" s="5">
        <v>5858.0</v>
      </c>
      <c r="D296" s="5">
        <v>5.4</v>
      </c>
      <c r="E296" s="5">
        <v>27.2</v>
      </c>
      <c r="F296" s="5" t="s">
        <v>55</v>
      </c>
      <c r="G296" s="5" t="s">
        <v>48</v>
      </c>
      <c r="H296" s="5">
        <v>27.2</v>
      </c>
      <c r="I296" s="5">
        <v>6.0</v>
      </c>
    </row>
    <row r="297">
      <c r="A297" s="11">
        <v>6.0</v>
      </c>
      <c r="B297" s="5" t="s">
        <v>22</v>
      </c>
      <c r="C297" s="5">
        <v>3633.0</v>
      </c>
      <c r="D297" s="5">
        <v>3.4</v>
      </c>
      <c r="E297" s="5">
        <v>16.8</v>
      </c>
      <c r="F297" s="5" t="s">
        <v>55</v>
      </c>
      <c r="G297" s="5" t="s">
        <v>48</v>
      </c>
      <c r="H297" s="5">
        <v>16.8</v>
      </c>
      <c r="I297" s="5">
        <v>6.0</v>
      </c>
    </row>
    <row r="298">
      <c r="A298" s="11">
        <v>7.0</v>
      </c>
      <c r="B298" s="5" t="s">
        <v>20</v>
      </c>
      <c r="C298" s="5">
        <v>3067.0</v>
      </c>
      <c r="D298" s="5">
        <v>2.8</v>
      </c>
      <c r="E298" s="5">
        <v>14.2</v>
      </c>
      <c r="F298" s="5" t="s">
        <v>55</v>
      </c>
      <c r="G298" s="5" t="s">
        <v>48</v>
      </c>
      <c r="H298" s="5">
        <v>14.2</v>
      </c>
      <c r="I298" s="5">
        <v>6.0</v>
      </c>
    </row>
    <row r="299">
      <c r="A299" s="11">
        <v>8.0</v>
      </c>
      <c r="B299" s="5" t="s">
        <v>18</v>
      </c>
      <c r="C299" s="5">
        <v>2142.0</v>
      </c>
      <c r="D299" s="5">
        <v>2.0</v>
      </c>
      <c r="E299" s="5">
        <v>9.9</v>
      </c>
      <c r="F299" s="5" t="s">
        <v>55</v>
      </c>
      <c r="G299" s="5" t="s">
        <v>48</v>
      </c>
      <c r="H299" s="5">
        <v>9.9</v>
      </c>
      <c r="I299" s="5">
        <v>6.0</v>
      </c>
    </row>
    <row r="300">
      <c r="A300" s="11">
        <v>9.0</v>
      </c>
      <c r="B300" s="5" t="s">
        <v>44</v>
      </c>
      <c r="C300" s="5">
        <v>1760.0</v>
      </c>
      <c r="D300" s="5">
        <v>1.6</v>
      </c>
      <c r="E300" s="5">
        <v>8.2</v>
      </c>
      <c r="F300" s="5" t="s">
        <v>55</v>
      </c>
      <c r="G300" s="5" t="s">
        <v>48</v>
      </c>
      <c r="H300" s="5">
        <v>8.2</v>
      </c>
      <c r="I300" s="5">
        <v>6.0</v>
      </c>
    </row>
    <row r="301">
      <c r="A301" s="11">
        <v>10.0</v>
      </c>
      <c r="B301" s="5" t="s">
        <v>34</v>
      </c>
      <c r="C301" s="5">
        <v>1479.0</v>
      </c>
      <c r="D301" s="5">
        <v>1.4</v>
      </c>
      <c r="E301" s="5">
        <v>6.9</v>
      </c>
      <c r="F301" s="5" t="s">
        <v>55</v>
      </c>
      <c r="G301" s="5" t="s">
        <v>48</v>
      </c>
      <c r="H301" s="5">
        <v>6.9</v>
      </c>
      <c r="I301" s="5">
        <v>6.0</v>
      </c>
    </row>
    <row r="302">
      <c r="A302" s="11">
        <v>11.0</v>
      </c>
      <c r="B302" s="5" t="s">
        <v>49</v>
      </c>
      <c r="C302" s="5">
        <v>1328.0</v>
      </c>
      <c r="D302" s="5">
        <v>1.2</v>
      </c>
      <c r="E302" s="5">
        <v>6.2</v>
      </c>
      <c r="F302" s="5" t="s">
        <v>55</v>
      </c>
      <c r="G302" s="5" t="s">
        <v>48</v>
      </c>
      <c r="H302" s="5">
        <v>6.2</v>
      </c>
      <c r="I302" s="5">
        <v>6.0</v>
      </c>
    </row>
    <row r="303">
      <c r="A303" s="11">
        <v>12.0</v>
      </c>
      <c r="B303" s="5" t="s">
        <v>26</v>
      </c>
      <c r="C303" s="5">
        <v>1304.0</v>
      </c>
      <c r="D303" s="5">
        <v>1.2</v>
      </c>
      <c r="E303" s="5">
        <v>6.0</v>
      </c>
      <c r="F303" s="5" t="s">
        <v>55</v>
      </c>
      <c r="G303" s="5" t="s">
        <v>48</v>
      </c>
      <c r="H303" s="5">
        <v>6.0</v>
      </c>
      <c r="I303" s="5">
        <v>6.0</v>
      </c>
    </row>
    <row r="304">
      <c r="A304" s="11">
        <v>13.0</v>
      </c>
      <c r="B304" s="5" t="s">
        <v>23</v>
      </c>
      <c r="C304" s="5">
        <v>1277.0</v>
      </c>
      <c r="D304" s="5">
        <v>1.2</v>
      </c>
      <c r="E304" s="5">
        <v>5.9</v>
      </c>
      <c r="F304" s="5" t="s">
        <v>55</v>
      </c>
      <c r="G304" s="5" t="s">
        <v>48</v>
      </c>
      <c r="H304" s="5">
        <v>5.9</v>
      </c>
      <c r="I304" s="5">
        <v>6.0</v>
      </c>
    </row>
    <row r="305">
      <c r="A305" s="11">
        <v>14.0</v>
      </c>
      <c r="B305" s="5" t="s">
        <v>24</v>
      </c>
      <c r="C305" s="5">
        <v>1190.0</v>
      </c>
      <c r="D305" s="5">
        <v>1.1</v>
      </c>
      <c r="E305" s="5">
        <v>5.5</v>
      </c>
      <c r="F305" s="5" t="s">
        <v>55</v>
      </c>
      <c r="G305" s="5" t="s">
        <v>48</v>
      </c>
      <c r="H305" s="5">
        <v>5.5</v>
      </c>
      <c r="I305" s="5">
        <v>6.0</v>
      </c>
    </row>
    <row r="306">
      <c r="A306" s="11">
        <v>15.0</v>
      </c>
      <c r="B306" s="5" t="s">
        <v>28</v>
      </c>
      <c r="C306" s="5">
        <v>990.0</v>
      </c>
      <c r="D306" s="5">
        <v>0.9</v>
      </c>
      <c r="E306" s="5">
        <v>4.6</v>
      </c>
      <c r="F306" s="5" t="s">
        <v>55</v>
      </c>
      <c r="G306" s="5" t="s">
        <v>48</v>
      </c>
      <c r="H306" s="5">
        <v>4.6</v>
      </c>
      <c r="I306" s="5">
        <v>6.0</v>
      </c>
    </row>
    <row r="307">
      <c r="A307" s="7" t="s">
        <v>12</v>
      </c>
      <c r="B307" s="5" t="s">
        <v>31</v>
      </c>
      <c r="C307" s="5">
        <v>16189.0</v>
      </c>
      <c r="D307" s="5">
        <v>15.0</v>
      </c>
      <c r="E307" s="5">
        <v>75.1</v>
      </c>
      <c r="F307" s="5" t="s">
        <v>55</v>
      </c>
      <c r="G307" s="5" t="s">
        <v>48</v>
      </c>
      <c r="H307" s="5">
        <v>75.1</v>
      </c>
      <c r="I307" s="5">
        <v>6.0</v>
      </c>
    </row>
    <row r="308">
      <c r="A308" s="7" t="s">
        <v>12</v>
      </c>
      <c r="B308" s="5" t="s">
        <v>13</v>
      </c>
      <c r="C308" s="5">
        <v>206325.0</v>
      </c>
      <c r="D308" s="5">
        <v>100.0</v>
      </c>
      <c r="E308" s="5">
        <v>1088.4</v>
      </c>
      <c r="F308" s="5" t="s">
        <v>55</v>
      </c>
      <c r="G308" s="5" t="s">
        <v>50</v>
      </c>
      <c r="H308" s="5">
        <v>1088.4</v>
      </c>
      <c r="I308" s="5">
        <v>7.0</v>
      </c>
    </row>
    <row r="309">
      <c r="A309" s="11">
        <v>1.0</v>
      </c>
      <c r="B309" s="5" t="s">
        <v>17</v>
      </c>
      <c r="C309" s="5">
        <v>62810.0</v>
      </c>
      <c r="D309" s="5">
        <v>30.4</v>
      </c>
      <c r="E309" s="5">
        <v>331.3</v>
      </c>
      <c r="F309" s="5" t="s">
        <v>55</v>
      </c>
      <c r="G309" s="5" t="s">
        <v>50</v>
      </c>
      <c r="H309" s="5">
        <v>331.3</v>
      </c>
      <c r="I309" s="5">
        <v>7.0</v>
      </c>
    </row>
    <row r="310">
      <c r="A310" s="11">
        <v>2.0</v>
      </c>
      <c r="B310" s="5" t="s">
        <v>16</v>
      </c>
      <c r="C310" s="5">
        <v>50680.0</v>
      </c>
      <c r="D310" s="5">
        <v>24.6</v>
      </c>
      <c r="E310" s="5">
        <v>267.3</v>
      </c>
      <c r="F310" s="5" t="s">
        <v>55</v>
      </c>
      <c r="G310" s="5" t="s">
        <v>50</v>
      </c>
      <c r="H310" s="5">
        <v>267.3</v>
      </c>
      <c r="I310" s="5">
        <v>7.0</v>
      </c>
    </row>
    <row r="311">
      <c r="A311" s="11">
        <v>3.0</v>
      </c>
      <c r="B311" s="5" t="s">
        <v>19</v>
      </c>
      <c r="C311" s="5">
        <v>11658.0</v>
      </c>
      <c r="D311" s="5">
        <v>5.7</v>
      </c>
      <c r="E311" s="5">
        <v>61.5</v>
      </c>
      <c r="F311" s="5" t="s">
        <v>55</v>
      </c>
      <c r="G311" s="5" t="s">
        <v>50</v>
      </c>
      <c r="H311" s="5">
        <v>61.5</v>
      </c>
      <c r="I311" s="5">
        <v>7.0</v>
      </c>
    </row>
    <row r="312">
      <c r="A312" s="11">
        <v>4.0</v>
      </c>
      <c r="B312" s="5" t="s">
        <v>27</v>
      </c>
      <c r="C312" s="5">
        <v>8485.0</v>
      </c>
      <c r="D312" s="5">
        <v>4.1</v>
      </c>
      <c r="E312" s="5">
        <v>44.8</v>
      </c>
      <c r="F312" s="5" t="s">
        <v>55</v>
      </c>
      <c r="G312" s="5" t="s">
        <v>50</v>
      </c>
      <c r="H312" s="5">
        <v>44.8</v>
      </c>
      <c r="I312" s="5">
        <v>7.0</v>
      </c>
    </row>
    <row r="313">
      <c r="A313" s="11">
        <v>5.0</v>
      </c>
      <c r="B313" s="5" t="s">
        <v>18</v>
      </c>
      <c r="C313" s="5">
        <v>8287.0</v>
      </c>
      <c r="D313" s="5">
        <v>4.0</v>
      </c>
      <c r="E313" s="5">
        <v>43.7</v>
      </c>
      <c r="F313" s="5" t="s">
        <v>55</v>
      </c>
      <c r="G313" s="5" t="s">
        <v>50</v>
      </c>
      <c r="H313" s="5">
        <v>43.7</v>
      </c>
      <c r="I313" s="5">
        <v>7.0</v>
      </c>
    </row>
    <row r="314">
      <c r="A314" s="11">
        <v>6.0</v>
      </c>
      <c r="B314" s="5" t="s">
        <v>22</v>
      </c>
      <c r="C314" s="5">
        <v>7933.0</v>
      </c>
      <c r="D314" s="5">
        <v>3.8</v>
      </c>
      <c r="E314" s="5">
        <v>41.8</v>
      </c>
      <c r="F314" s="5" t="s">
        <v>55</v>
      </c>
      <c r="G314" s="5" t="s">
        <v>50</v>
      </c>
      <c r="H314" s="5">
        <v>41.8</v>
      </c>
      <c r="I314" s="5">
        <v>7.0</v>
      </c>
    </row>
    <row r="315">
      <c r="A315" s="11">
        <v>7.0</v>
      </c>
      <c r="B315" s="5" t="s">
        <v>20</v>
      </c>
      <c r="C315" s="5">
        <v>6651.0</v>
      </c>
      <c r="D315" s="5">
        <v>3.2</v>
      </c>
      <c r="E315" s="5">
        <v>35.1</v>
      </c>
      <c r="F315" s="5" t="s">
        <v>55</v>
      </c>
      <c r="G315" s="5" t="s">
        <v>50</v>
      </c>
      <c r="H315" s="5">
        <v>35.1</v>
      </c>
      <c r="I315" s="5">
        <v>7.0</v>
      </c>
    </row>
    <row r="316">
      <c r="A316" s="11">
        <v>8.0</v>
      </c>
      <c r="B316" s="5" t="s">
        <v>25</v>
      </c>
      <c r="C316" s="5">
        <v>5373.0</v>
      </c>
      <c r="D316" s="5">
        <v>2.6</v>
      </c>
      <c r="E316" s="5">
        <v>28.3</v>
      </c>
      <c r="F316" s="5" t="s">
        <v>55</v>
      </c>
      <c r="G316" s="5" t="s">
        <v>50</v>
      </c>
      <c r="H316" s="5">
        <v>28.3</v>
      </c>
      <c r="I316" s="5">
        <v>7.0</v>
      </c>
    </row>
    <row r="317">
      <c r="A317" s="11">
        <v>9.0</v>
      </c>
      <c r="B317" s="5" t="s">
        <v>26</v>
      </c>
      <c r="C317" s="5">
        <v>2892.0</v>
      </c>
      <c r="D317" s="5">
        <v>1.4</v>
      </c>
      <c r="E317" s="5">
        <v>15.3</v>
      </c>
      <c r="F317" s="5" t="s">
        <v>55</v>
      </c>
      <c r="G317" s="5" t="s">
        <v>50</v>
      </c>
      <c r="H317" s="5">
        <v>15.3</v>
      </c>
      <c r="I317" s="5">
        <v>7.0</v>
      </c>
    </row>
    <row r="318">
      <c r="A318" s="11">
        <v>10.0</v>
      </c>
      <c r="B318" s="5" t="s">
        <v>24</v>
      </c>
      <c r="C318" s="5">
        <v>2800.0</v>
      </c>
      <c r="D318" s="5">
        <v>1.4</v>
      </c>
      <c r="E318" s="5">
        <v>14.8</v>
      </c>
      <c r="F318" s="5" t="s">
        <v>55</v>
      </c>
      <c r="G318" s="5" t="s">
        <v>50</v>
      </c>
      <c r="H318" s="5">
        <v>14.8</v>
      </c>
      <c r="I318" s="5">
        <v>7.0</v>
      </c>
    </row>
    <row r="319">
      <c r="A319" s="11">
        <v>11.0</v>
      </c>
      <c r="B319" s="5" t="s">
        <v>49</v>
      </c>
      <c r="C319" s="5">
        <v>2792.0</v>
      </c>
      <c r="D319" s="5">
        <v>1.4</v>
      </c>
      <c r="E319" s="5">
        <v>14.7</v>
      </c>
      <c r="F319" s="5" t="s">
        <v>55</v>
      </c>
      <c r="G319" s="5" t="s">
        <v>50</v>
      </c>
      <c r="H319" s="5">
        <v>14.7</v>
      </c>
      <c r="I319" s="5">
        <v>7.0</v>
      </c>
    </row>
    <row r="320">
      <c r="A320" s="11">
        <v>12.0</v>
      </c>
      <c r="B320" s="5" t="s">
        <v>23</v>
      </c>
      <c r="C320" s="5">
        <v>2745.0</v>
      </c>
      <c r="D320" s="5">
        <v>1.3</v>
      </c>
      <c r="E320" s="5">
        <v>14.5</v>
      </c>
      <c r="F320" s="5" t="s">
        <v>55</v>
      </c>
      <c r="G320" s="5" t="s">
        <v>50</v>
      </c>
      <c r="H320" s="5">
        <v>14.5</v>
      </c>
      <c r="I320" s="5">
        <v>7.0</v>
      </c>
    </row>
    <row r="321">
      <c r="A321" s="11">
        <v>13.0</v>
      </c>
      <c r="B321" s="5" t="s">
        <v>28</v>
      </c>
      <c r="C321" s="5">
        <v>1990.0</v>
      </c>
      <c r="D321" s="5">
        <v>1.0</v>
      </c>
      <c r="E321" s="5">
        <v>10.5</v>
      </c>
      <c r="F321" s="5" t="s">
        <v>55</v>
      </c>
      <c r="G321" s="5" t="s">
        <v>50</v>
      </c>
      <c r="H321" s="5">
        <v>10.5</v>
      </c>
      <c r="I321" s="5">
        <v>7.0</v>
      </c>
    </row>
    <row r="322">
      <c r="A322" s="11">
        <v>14.0</v>
      </c>
      <c r="B322" s="5" t="s">
        <v>44</v>
      </c>
      <c r="C322" s="5">
        <v>1369.0</v>
      </c>
      <c r="D322" s="5">
        <v>0.7</v>
      </c>
      <c r="E322" s="5">
        <v>7.2</v>
      </c>
      <c r="F322" s="5" t="s">
        <v>55</v>
      </c>
      <c r="G322" s="5" t="s">
        <v>50</v>
      </c>
      <c r="H322" s="5">
        <v>7.2</v>
      </c>
      <c r="I322" s="5">
        <v>7.0</v>
      </c>
    </row>
    <row r="323">
      <c r="A323" s="11">
        <v>15.0</v>
      </c>
      <c r="B323" s="5" t="s">
        <v>56</v>
      </c>
      <c r="C323" s="5">
        <v>934.0</v>
      </c>
      <c r="D323" s="5">
        <v>0.5</v>
      </c>
      <c r="E323" s="5">
        <v>4.9</v>
      </c>
      <c r="F323" s="5" t="s">
        <v>55</v>
      </c>
      <c r="G323" s="5" t="s">
        <v>50</v>
      </c>
      <c r="H323" s="5">
        <v>4.9</v>
      </c>
      <c r="I323" s="5">
        <v>7.0</v>
      </c>
    </row>
    <row r="324">
      <c r="A324" s="7" t="s">
        <v>12</v>
      </c>
      <c r="B324" s="5" t="s">
        <v>31</v>
      </c>
      <c r="C324" s="5">
        <v>28926.0</v>
      </c>
      <c r="D324" s="5">
        <v>14.0</v>
      </c>
      <c r="E324" s="5">
        <v>152.6</v>
      </c>
      <c r="F324" s="5" t="s">
        <v>55</v>
      </c>
      <c r="G324" s="5" t="s">
        <v>50</v>
      </c>
      <c r="H324" s="5">
        <v>152.6</v>
      </c>
      <c r="I324" s="5">
        <v>7.0</v>
      </c>
    </row>
    <row r="325">
      <c r="A325" s="7" t="s">
        <v>12</v>
      </c>
      <c r="B325" s="5" t="s">
        <v>31</v>
      </c>
      <c r="C325" s="5">
        <v>257898.0</v>
      </c>
      <c r="D325" s="5">
        <v>100.0</v>
      </c>
      <c r="E325" s="5">
        <v>2186.0</v>
      </c>
      <c r="F325" s="5" t="s">
        <v>55</v>
      </c>
      <c r="G325" s="5" t="s">
        <v>51</v>
      </c>
      <c r="H325" s="5">
        <v>2186.0</v>
      </c>
      <c r="I325" s="5">
        <v>8.0</v>
      </c>
    </row>
    <row r="326">
      <c r="A326" s="11">
        <v>1.0</v>
      </c>
      <c r="B326" s="5" t="s">
        <v>17</v>
      </c>
      <c r="C326" s="5">
        <v>85669.0</v>
      </c>
      <c r="D326" s="5">
        <v>33.2</v>
      </c>
      <c r="E326" s="5">
        <v>726.2</v>
      </c>
      <c r="F326" s="5" t="s">
        <v>55</v>
      </c>
      <c r="G326" s="5" t="s">
        <v>51</v>
      </c>
      <c r="H326" s="5">
        <v>726.2</v>
      </c>
      <c r="I326" s="5">
        <v>8.0</v>
      </c>
    </row>
    <row r="327">
      <c r="A327" s="11">
        <v>2.0</v>
      </c>
      <c r="B327" s="5" t="s">
        <v>16</v>
      </c>
      <c r="C327" s="5">
        <v>62634.0</v>
      </c>
      <c r="D327" s="5">
        <v>24.3</v>
      </c>
      <c r="E327" s="5">
        <v>530.9</v>
      </c>
      <c r="F327" s="5" t="s">
        <v>55</v>
      </c>
      <c r="G327" s="5" t="s">
        <v>51</v>
      </c>
      <c r="H327" s="5">
        <v>530.9</v>
      </c>
      <c r="I327" s="5">
        <v>8.0</v>
      </c>
    </row>
    <row r="328">
      <c r="A328" s="11">
        <v>3.0</v>
      </c>
      <c r="B328" s="5" t="s">
        <v>18</v>
      </c>
      <c r="C328" s="5">
        <v>17925.0</v>
      </c>
      <c r="D328" s="5">
        <v>7.0</v>
      </c>
      <c r="E328" s="5">
        <v>151.9</v>
      </c>
      <c r="F328" s="5" t="s">
        <v>55</v>
      </c>
      <c r="G328" s="5" t="s">
        <v>51</v>
      </c>
      <c r="H328" s="5">
        <v>151.9</v>
      </c>
      <c r="I328" s="5">
        <v>8.0</v>
      </c>
    </row>
    <row r="329">
      <c r="A329" s="11">
        <v>4.0</v>
      </c>
      <c r="B329" s="5" t="s">
        <v>20</v>
      </c>
      <c r="C329" s="5">
        <v>10033.0</v>
      </c>
      <c r="D329" s="5">
        <v>3.9</v>
      </c>
      <c r="E329" s="5">
        <v>85.0</v>
      </c>
      <c r="F329" s="5" t="s">
        <v>55</v>
      </c>
      <c r="G329" s="5" t="s">
        <v>51</v>
      </c>
      <c r="H329" s="5">
        <v>85.0</v>
      </c>
      <c r="I329" s="5">
        <v>8.0</v>
      </c>
    </row>
    <row r="330">
      <c r="A330" s="11">
        <v>5.0</v>
      </c>
      <c r="B330" s="5" t="s">
        <v>22</v>
      </c>
      <c r="C330" s="5">
        <v>9857.0</v>
      </c>
      <c r="D330" s="5">
        <v>3.8</v>
      </c>
      <c r="E330" s="5">
        <v>83.6</v>
      </c>
      <c r="F330" s="5" t="s">
        <v>55</v>
      </c>
      <c r="G330" s="5" t="s">
        <v>51</v>
      </c>
      <c r="H330" s="5">
        <v>83.6</v>
      </c>
      <c r="I330" s="5">
        <v>8.0</v>
      </c>
    </row>
    <row r="331">
      <c r="A331" s="11">
        <v>6.0</v>
      </c>
      <c r="B331" s="5" t="s">
        <v>19</v>
      </c>
      <c r="C331" s="5">
        <v>7014.0</v>
      </c>
      <c r="D331" s="5">
        <v>2.7</v>
      </c>
      <c r="E331" s="5">
        <v>59.5</v>
      </c>
      <c r="F331" s="5" t="s">
        <v>55</v>
      </c>
      <c r="G331" s="5" t="s">
        <v>51</v>
      </c>
      <c r="H331" s="5">
        <v>59.5</v>
      </c>
      <c r="I331" s="5">
        <v>8.0</v>
      </c>
    </row>
    <row r="332">
      <c r="A332" s="11">
        <v>7.0</v>
      </c>
      <c r="B332" s="5" t="s">
        <v>27</v>
      </c>
      <c r="C332" s="5">
        <v>4531.0</v>
      </c>
      <c r="D332" s="5">
        <v>1.8</v>
      </c>
      <c r="E332" s="5">
        <v>38.4</v>
      </c>
      <c r="F332" s="5" t="s">
        <v>55</v>
      </c>
      <c r="G332" s="5" t="s">
        <v>51</v>
      </c>
      <c r="H332" s="5">
        <v>38.4</v>
      </c>
      <c r="I332" s="5">
        <v>8.0</v>
      </c>
    </row>
    <row r="333">
      <c r="A333" s="11">
        <v>8.0</v>
      </c>
      <c r="B333" s="5" t="s">
        <v>24</v>
      </c>
      <c r="C333" s="5">
        <v>4469.0</v>
      </c>
      <c r="D333" s="5">
        <v>1.7</v>
      </c>
      <c r="E333" s="5">
        <v>37.9</v>
      </c>
      <c r="F333" s="5" t="s">
        <v>55</v>
      </c>
      <c r="G333" s="5" t="s">
        <v>51</v>
      </c>
      <c r="H333" s="5">
        <v>37.9</v>
      </c>
      <c r="I333" s="5">
        <v>8.0</v>
      </c>
    </row>
    <row r="334">
      <c r="A334" s="11">
        <v>9.0</v>
      </c>
      <c r="B334" s="5" t="s">
        <v>23</v>
      </c>
      <c r="C334" s="5">
        <v>4131.0</v>
      </c>
      <c r="D334" s="5">
        <v>1.6</v>
      </c>
      <c r="E334" s="5">
        <v>35.0</v>
      </c>
      <c r="F334" s="5" t="s">
        <v>55</v>
      </c>
      <c r="G334" s="5" t="s">
        <v>51</v>
      </c>
      <c r="H334" s="5">
        <v>35.0</v>
      </c>
      <c r="I334" s="5">
        <v>8.0</v>
      </c>
    </row>
    <row r="335">
      <c r="A335" s="11">
        <v>10.0</v>
      </c>
      <c r="B335" s="5" t="s">
        <v>26</v>
      </c>
      <c r="C335" s="5">
        <v>4002.0</v>
      </c>
      <c r="D335" s="5">
        <v>1.6</v>
      </c>
      <c r="E335" s="5">
        <v>33.9</v>
      </c>
      <c r="F335" s="5" t="s">
        <v>55</v>
      </c>
      <c r="G335" s="5" t="s">
        <v>51</v>
      </c>
      <c r="H335" s="5">
        <v>33.9</v>
      </c>
      <c r="I335" s="5">
        <v>8.0</v>
      </c>
    </row>
    <row r="336">
      <c r="A336" s="11">
        <v>11.0</v>
      </c>
      <c r="B336" s="5" t="s">
        <v>25</v>
      </c>
      <c r="C336" s="5">
        <v>3072.0</v>
      </c>
      <c r="D336" s="5">
        <v>1.2</v>
      </c>
      <c r="E336" s="5">
        <v>26.0</v>
      </c>
      <c r="F336" s="5" t="s">
        <v>55</v>
      </c>
      <c r="G336" s="5" t="s">
        <v>51</v>
      </c>
      <c r="H336" s="5">
        <v>26.0</v>
      </c>
      <c r="I336" s="5">
        <v>8.0</v>
      </c>
    </row>
    <row r="337">
      <c r="A337" s="11">
        <v>12.0</v>
      </c>
      <c r="B337" s="5" t="s">
        <v>28</v>
      </c>
      <c r="C337" s="5">
        <v>2359.0</v>
      </c>
      <c r="D337" s="5">
        <v>0.9</v>
      </c>
      <c r="E337" s="5">
        <v>20.0</v>
      </c>
      <c r="F337" s="5" t="s">
        <v>55</v>
      </c>
      <c r="G337" s="5" t="s">
        <v>51</v>
      </c>
      <c r="H337" s="5">
        <v>20.0</v>
      </c>
      <c r="I337" s="5">
        <v>8.0</v>
      </c>
    </row>
    <row r="338">
      <c r="A338" s="11">
        <v>13.0</v>
      </c>
      <c r="B338" s="5" t="s">
        <v>29</v>
      </c>
      <c r="C338" s="5">
        <v>2160.0</v>
      </c>
      <c r="D338" s="5">
        <v>0.8</v>
      </c>
      <c r="E338" s="5">
        <v>18.3</v>
      </c>
      <c r="F338" s="5" t="s">
        <v>55</v>
      </c>
      <c r="G338" s="5" t="s">
        <v>51</v>
      </c>
      <c r="H338" s="5">
        <v>18.3</v>
      </c>
      <c r="I338" s="5">
        <v>8.0</v>
      </c>
    </row>
    <row r="339">
      <c r="A339" s="11">
        <v>14.0</v>
      </c>
      <c r="B339" s="5" t="s">
        <v>21</v>
      </c>
      <c r="C339" s="5">
        <v>1984.0</v>
      </c>
      <c r="D339" s="5">
        <v>0.8</v>
      </c>
      <c r="E339" s="5">
        <v>16.8</v>
      </c>
      <c r="F339" s="5" t="s">
        <v>55</v>
      </c>
      <c r="G339" s="5" t="s">
        <v>51</v>
      </c>
      <c r="H339" s="5">
        <v>16.8</v>
      </c>
      <c r="I339" s="5">
        <v>8.0</v>
      </c>
    </row>
    <row r="340">
      <c r="A340" s="11">
        <v>15.0</v>
      </c>
      <c r="B340" s="5" t="s">
        <v>35</v>
      </c>
      <c r="C340" s="5">
        <v>1657.0</v>
      </c>
      <c r="D340" s="5">
        <v>0.6</v>
      </c>
      <c r="E340" s="5">
        <v>14.0</v>
      </c>
      <c r="F340" s="5" t="s">
        <v>55</v>
      </c>
      <c r="G340" s="5" t="s">
        <v>51</v>
      </c>
      <c r="H340" s="5">
        <v>14.0</v>
      </c>
      <c r="I340" s="5">
        <v>8.0</v>
      </c>
    </row>
    <row r="341">
      <c r="A341" s="7" t="s">
        <v>12</v>
      </c>
      <c r="B341" s="5" t="s">
        <v>31</v>
      </c>
      <c r="C341" s="5">
        <v>36401.0</v>
      </c>
      <c r="D341" s="5">
        <v>14.1</v>
      </c>
      <c r="E341" s="5">
        <v>308.5</v>
      </c>
      <c r="F341" s="5" t="s">
        <v>55</v>
      </c>
      <c r="G341" s="5" t="s">
        <v>51</v>
      </c>
      <c r="H341" s="5">
        <v>308.5</v>
      </c>
      <c r="I341" s="5">
        <v>8.0</v>
      </c>
    </row>
    <row r="342">
      <c r="H342" s="5" t="str">
        <f>IF(E342="*", 0, E342)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43"/>
    <col customWidth="1" min="2" max="2" width="19.86"/>
    <col customWidth="1" min="8" max="8" width="53.71"/>
    <col customWidth="1" min="9" max="19" width="10.0"/>
    <col customWidth="1" min="20" max="20" width="14.29"/>
    <col customWidth="1" min="21" max="21" width="7.0"/>
    <col customWidth="1" min="22" max="22" width="30.71"/>
    <col customWidth="1" min="23" max="23" width="7.0"/>
    <col customWidth="1" min="24" max="24" width="12.71"/>
  </cols>
  <sheetData>
    <row r="1">
      <c r="A1" s="19" t="s">
        <v>4</v>
      </c>
      <c r="B1" s="19" t="s">
        <v>57</v>
      </c>
      <c r="C1" s="19" t="s">
        <v>58</v>
      </c>
      <c r="D1" s="19" t="s">
        <v>59</v>
      </c>
      <c r="E1" s="19"/>
      <c r="F1" s="19"/>
      <c r="G1" s="19"/>
      <c r="T1" s="19"/>
      <c r="U1" s="19"/>
      <c r="AH1" s="19"/>
      <c r="AI1" s="19"/>
      <c r="AJ1" s="19"/>
      <c r="AK1" s="19"/>
      <c r="AL1" s="19"/>
      <c r="AM1" s="19"/>
    </row>
    <row r="2" ht="21.75" customHeight="1">
      <c r="A2" s="19" t="s">
        <v>16</v>
      </c>
      <c r="B2" s="20">
        <v>611105.0</v>
      </c>
      <c r="C2" s="21">
        <v>193.3</v>
      </c>
      <c r="D2" s="19">
        <v>1.0</v>
      </c>
      <c r="E2" s="19"/>
      <c r="F2" s="19"/>
      <c r="G2" s="19"/>
      <c r="T2" s="19"/>
      <c r="U2" s="19"/>
      <c r="AH2" s="19"/>
      <c r="AI2" s="19"/>
      <c r="AJ2" s="19"/>
      <c r="AK2" s="19"/>
      <c r="AL2" s="19"/>
      <c r="AM2" s="19"/>
    </row>
    <row r="3">
      <c r="A3" s="19" t="s">
        <v>17</v>
      </c>
      <c r="B3" s="20">
        <v>584881.0</v>
      </c>
      <c r="C3" s="21">
        <v>185.0</v>
      </c>
      <c r="D3" s="19">
        <v>2.0</v>
      </c>
      <c r="E3" s="19"/>
      <c r="F3" s="19"/>
      <c r="G3" s="19"/>
      <c r="T3" s="19"/>
      <c r="U3" s="19"/>
      <c r="AH3" s="19"/>
      <c r="AI3" s="19"/>
      <c r="AJ3" s="19"/>
      <c r="AK3" s="19"/>
      <c r="AL3" s="19"/>
      <c r="AM3" s="19"/>
    </row>
    <row r="4" ht="15.75" customHeight="1">
      <c r="A4" s="19" t="s">
        <v>18</v>
      </c>
      <c r="B4" s="20">
        <v>149205.0</v>
      </c>
      <c r="C4" s="21">
        <v>47.2</v>
      </c>
      <c r="D4" s="19">
        <v>3.0</v>
      </c>
      <c r="E4" s="19"/>
      <c r="F4" s="19"/>
      <c r="G4" s="19"/>
      <c r="T4" s="19"/>
      <c r="U4" s="19"/>
      <c r="AH4" s="19"/>
      <c r="AI4" s="19"/>
      <c r="AJ4" s="19"/>
      <c r="AK4" s="19"/>
      <c r="AL4" s="19"/>
      <c r="AM4" s="19"/>
    </row>
    <row r="5">
      <c r="A5" s="19" t="s">
        <v>19</v>
      </c>
      <c r="B5" s="20">
        <v>130557.0</v>
      </c>
      <c r="C5" s="21">
        <v>41.3</v>
      </c>
      <c r="D5" s="19">
        <v>4.0</v>
      </c>
      <c r="E5" s="19"/>
      <c r="F5" s="19"/>
      <c r="G5" s="19"/>
      <c r="T5" s="19"/>
      <c r="U5" s="19"/>
      <c r="AH5" s="19"/>
      <c r="AI5" s="19"/>
      <c r="AJ5" s="19"/>
      <c r="AK5" s="19"/>
      <c r="AL5" s="19"/>
      <c r="AM5" s="19"/>
    </row>
    <row r="6">
      <c r="A6" s="19" t="s">
        <v>20</v>
      </c>
      <c r="B6" s="20">
        <v>128978.0</v>
      </c>
      <c r="C6" s="21">
        <v>40.8</v>
      </c>
      <c r="D6" s="19">
        <v>5.0</v>
      </c>
      <c r="E6" s="19"/>
      <c r="F6" s="19"/>
      <c r="G6" s="19"/>
      <c r="T6" s="19"/>
      <c r="U6" s="19"/>
      <c r="AH6" s="19"/>
      <c r="AI6" s="19"/>
      <c r="AJ6" s="19"/>
      <c r="AK6" s="19"/>
      <c r="AL6" s="19"/>
      <c r="AM6" s="19"/>
    </row>
    <row r="7">
      <c r="A7" s="19" t="s">
        <v>21</v>
      </c>
      <c r="B7" s="20">
        <v>84767.0</v>
      </c>
      <c r="C7" s="21">
        <v>26.8</v>
      </c>
      <c r="D7" s="19">
        <v>6.0</v>
      </c>
      <c r="E7" s="19"/>
      <c r="F7" s="19"/>
      <c r="G7" s="19"/>
      <c r="T7" s="19"/>
      <c r="U7" s="19"/>
      <c r="AH7" s="19"/>
      <c r="AI7" s="19"/>
      <c r="AJ7" s="19"/>
      <c r="AK7" s="19"/>
      <c r="AL7" s="19"/>
      <c r="AM7" s="19"/>
    </row>
    <row r="8">
      <c r="A8" s="19" t="s">
        <v>22</v>
      </c>
      <c r="B8" s="20">
        <v>75578.0</v>
      </c>
      <c r="C8" s="21">
        <v>23.9</v>
      </c>
      <c r="D8" s="19">
        <v>7.0</v>
      </c>
      <c r="E8" s="19"/>
      <c r="F8" s="19"/>
      <c r="G8" s="19"/>
      <c r="T8" s="19"/>
      <c r="U8" s="19"/>
      <c r="AH8" s="19"/>
      <c r="AI8" s="19"/>
      <c r="AJ8" s="19"/>
      <c r="AK8" s="19"/>
      <c r="AL8" s="19"/>
      <c r="AM8" s="19"/>
    </row>
    <row r="9">
      <c r="A9" s="19" t="s">
        <v>23</v>
      </c>
      <c r="B9" s="20">
        <v>56979.0</v>
      </c>
      <c r="C9" s="21">
        <v>18.0</v>
      </c>
      <c r="D9" s="19">
        <v>8.0</v>
      </c>
      <c r="E9" s="19"/>
      <c r="F9" s="19"/>
      <c r="G9" s="19"/>
      <c r="T9" s="19"/>
      <c r="U9" s="19"/>
      <c r="AH9" s="19"/>
      <c r="AI9" s="19"/>
      <c r="AJ9" s="19"/>
      <c r="AK9" s="19"/>
      <c r="AL9" s="19"/>
      <c r="AM9" s="19"/>
    </row>
    <row r="10">
      <c r="A10" s="19" t="s">
        <v>24</v>
      </c>
      <c r="B10" s="20">
        <v>47112.0</v>
      </c>
      <c r="C10" s="21">
        <v>14.9</v>
      </c>
      <c r="D10" s="19">
        <v>9.0</v>
      </c>
      <c r="E10" s="19"/>
      <c r="F10" s="19"/>
      <c r="G10" s="19"/>
      <c r="T10" s="19"/>
      <c r="U10" s="19"/>
      <c r="AH10" s="19"/>
      <c r="AI10" s="19"/>
      <c r="AJ10" s="19"/>
      <c r="AK10" s="19"/>
      <c r="AL10" s="19"/>
      <c r="AM10" s="19"/>
    </row>
    <row r="11">
      <c r="A11" s="19" t="s">
        <v>25</v>
      </c>
      <c r="B11" s="20">
        <v>41149.0</v>
      </c>
      <c r="C11" s="21">
        <v>13.0</v>
      </c>
      <c r="D11" s="19">
        <v>10.0</v>
      </c>
      <c r="E11" s="19"/>
      <c r="F11" s="19"/>
      <c r="G11" s="19"/>
      <c r="T11" s="19"/>
      <c r="U11" s="19"/>
      <c r="AH11" s="19"/>
      <c r="AI11" s="19"/>
      <c r="AJ11" s="19"/>
      <c r="AK11" s="19"/>
      <c r="AL11" s="19"/>
      <c r="AM11" s="19"/>
    </row>
    <row r="12">
      <c r="A12" s="19" t="s">
        <v>26</v>
      </c>
      <c r="B12" s="20">
        <v>38156.0</v>
      </c>
      <c r="C12" s="21">
        <v>12.1</v>
      </c>
      <c r="D12" s="19">
        <v>11.0</v>
      </c>
      <c r="E12" s="19"/>
      <c r="F12" s="19"/>
      <c r="G12" s="19"/>
      <c r="T12" s="19"/>
      <c r="U12" s="19"/>
      <c r="AH12" s="19"/>
      <c r="AI12" s="19"/>
      <c r="AJ12" s="19"/>
      <c r="AK12" s="19"/>
      <c r="AL12" s="19"/>
      <c r="AM12" s="19"/>
    </row>
    <row r="13">
      <c r="A13" s="19" t="s">
        <v>27</v>
      </c>
      <c r="B13" s="20">
        <v>36427.0</v>
      </c>
      <c r="C13" s="21">
        <v>11.5</v>
      </c>
      <c r="D13" s="19">
        <v>12.0</v>
      </c>
      <c r="E13" s="19"/>
      <c r="F13" s="19"/>
      <c r="G13" s="19"/>
      <c r="T13" s="19"/>
      <c r="U13" s="19"/>
      <c r="AH13" s="19"/>
      <c r="AI13" s="19"/>
      <c r="AJ13" s="19"/>
      <c r="AK13" s="19"/>
      <c r="AL13" s="19"/>
      <c r="AM13" s="19"/>
    </row>
    <row r="14">
      <c r="A14" s="19" t="s">
        <v>28</v>
      </c>
      <c r="B14" s="20">
        <v>30770.0</v>
      </c>
      <c r="C14" s="21">
        <v>9.7</v>
      </c>
      <c r="D14" s="19">
        <v>13.0</v>
      </c>
      <c r="E14" s="19"/>
      <c r="F14" s="19"/>
      <c r="G14" s="19"/>
      <c r="T14" s="19"/>
      <c r="U14" s="19"/>
      <c r="AH14" s="19"/>
      <c r="AI14" s="19"/>
      <c r="AJ14" s="19"/>
      <c r="AK14" s="19"/>
      <c r="AL14" s="19"/>
      <c r="AM14" s="19"/>
    </row>
    <row r="15">
      <c r="A15" s="19" t="s">
        <v>29</v>
      </c>
      <c r="B15" s="20">
        <v>25196.0</v>
      </c>
      <c r="C15" s="21">
        <v>8.0</v>
      </c>
      <c r="D15" s="19">
        <v>14.0</v>
      </c>
      <c r="E15" s="19"/>
      <c r="F15" s="19"/>
      <c r="G15" s="19"/>
      <c r="T15" s="19"/>
      <c r="U15" s="19"/>
      <c r="AH15" s="19"/>
      <c r="AI15" s="19"/>
      <c r="AJ15" s="19"/>
      <c r="AK15" s="19"/>
      <c r="AL15" s="19"/>
      <c r="AM15" s="19"/>
    </row>
    <row r="16">
      <c r="A16" s="19" t="s">
        <v>30</v>
      </c>
      <c r="B16" s="20">
        <v>18579.0</v>
      </c>
      <c r="C16" s="21">
        <v>5.9</v>
      </c>
      <c r="D16" s="19">
        <v>15.0</v>
      </c>
      <c r="E16" s="19"/>
      <c r="F16" s="19"/>
      <c r="G16" s="19"/>
      <c r="T16" s="19"/>
      <c r="U16" s="19"/>
      <c r="AH16" s="19"/>
      <c r="AI16" s="19"/>
      <c r="AJ16" s="19"/>
      <c r="AK16" s="19"/>
      <c r="AL16" s="19"/>
      <c r="AM16" s="19"/>
    </row>
    <row r="17">
      <c r="A17" s="19" t="s">
        <v>60</v>
      </c>
      <c r="B17" s="20">
        <v>2059439.0</v>
      </c>
      <c r="C17" s="21">
        <v>651.4</v>
      </c>
      <c r="D17" s="19">
        <v>120.0</v>
      </c>
      <c r="E17" s="19"/>
      <c r="F17" s="19"/>
      <c r="G17" s="19"/>
      <c r="T17" s="19"/>
      <c r="U17" s="19"/>
      <c r="AH17" s="19"/>
      <c r="AI17" s="19"/>
      <c r="AJ17" s="19"/>
      <c r="AK17" s="19"/>
      <c r="AL17" s="19"/>
      <c r="AM17" s="19"/>
    </row>
    <row r="18">
      <c r="A18" s="22" t="s">
        <v>61</v>
      </c>
      <c r="B18" s="19"/>
      <c r="C18" s="19"/>
      <c r="D18" s="19"/>
      <c r="E18" s="19"/>
      <c r="F18" s="19"/>
      <c r="G18" s="19"/>
      <c r="T18" s="19"/>
      <c r="U18" s="19"/>
      <c r="AH18" s="19"/>
      <c r="AI18" s="19"/>
      <c r="AJ18" s="19"/>
      <c r="AK18" s="19"/>
      <c r="AL18" s="19"/>
      <c r="AM18" s="19"/>
    </row>
    <row r="19">
      <c r="E19" s="19"/>
      <c r="F19" s="19"/>
      <c r="G19" s="19"/>
      <c r="T19" s="19"/>
      <c r="U19" s="19"/>
      <c r="AH19" s="19"/>
      <c r="AI19" s="19"/>
      <c r="AJ19" s="19"/>
      <c r="AK19" s="19"/>
      <c r="AL19" s="19"/>
      <c r="AM19" s="19"/>
    </row>
    <row r="20">
      <c r="E20" s="19"/>
      <c r="F20" s="19"/>
      <c r="G20" s="19"/>
      <c r="T20" s="19"/>
      <c r="U20" s="19"/>
      <c r="AH20" s="19"/>
      <c r="AI20" s="19"/>
      <c r="AJ20" s="19"/>
      <c r="AK20" s="19"/>
      <c r="AL20" s="19"/>
      <c r="AM20" s="19"/>
    </row>
    <row r="21">
      <c r="E21" s="19"/>
      <c r="F21" s="19"/>
      <c r="G21" s="19"/>
      <c r="T21" s="19"/>
      <c r="U21" s="19"/>
      <c r="AH21" s="19"/>
      <c r="AI21" s="19"/>
      <c r="AJ21" s="19"/>
      <c r="AK21" s="19"/>
      <c r="AL21" s="19"/>
      <c r="AM21" s="19"/>
    </row>
    <row r="22">
      <c r="E22" s="19"/>
      <c r="F22" s="19"/>
      <c r="G22" s="19"/>
      <c r="T22" s="19"/>
      <c r="U22" s="19"/>
      <c r="AH22" s="19"/>
      <c r="AI22" s="19"/>
      <c r="AJ22" s="19"/>
      <c r="AK22" s="19"/>
      <c r="AL22" s="19"/>
      <c r="AM22" s="19"/>
    </row>
    <row r="23">
      <c r="E23" s="19"/>
      <c r="F23" s="19"/>
      <c r="G23" s="19"/>
      <c r="T23" s="19"/>
      <c r="U23" s="19"/>
      <c r="AH23" s="19"/>
      <c r="AI23" s="19"/>
      <c r="AJ23" s="19"/>
      <c r="AK23" s="19"/>
      <c r="AL23" s="19"/>
      <c r="AM23" s="19"/>
    </row>
    <row r="24">
      <c r="E24" s="19"/>
      <c r="F24" s="19"/>
      <c r="G24" s="19"/>
      <c r="T24" s="19"/>
      <c r="U24" s="19"/>
      <c r="AH24" s="19"/>
      <c r="AI24" s="19"/>
      <c r="AJ24" s="19"/>
      <c r="AK24" s="19"/>
      <c r="AL24" s="19"/>
      <c r="AM24" s="19"/>
    </row>
    <row r="25">
      <c r="E25" s="19"/>
      <c r="F25" s="19"/>
      <c r="G25" s="19"/>
      <c r="T25" s="19"/>
      <c r="U25" s="19"/>
      <c r="AH25" s="19"/>
      <c r="AI25" s="19"/>
      <c r="AJ25" s="19"/>
      <c r="AK25" s="19"/>
      <c r="AL25" s="19"/>
      <c r="AM25" s="19"/>
    </row>
    <row r="26">
      <c r="E26" s="19"/>
      <c r="F26" s="19"/>
      <c r="G26" s="19"/>
      <c r="T26" s="19"/>
      <c r="U26" s="19"/>
      <c r="AH26" s="19"/>
      <c r="AI26" s="19"/>
      <c r="AJ26" s="19"/>
      <c r="AK26" s="19"/>
      <c r="AL26" s="19"/>
      <c r="AM26" s="19"/>
    </row>
    <row r="27">
      <c r="E27" s="19"/>
      <c r="F27" s="19"/>
      <c r="G27" s="19"/>
      <c r="T27" s="19"/>
      <c r="U27" s="19"/>
      <c r="AH27" s="19"/>
      <c r="AI27" s="19"/>
      <c r="AJ27" s="19"/>
      <c r="AK27" s="19"/>
      <c r="AL27" s="19"/>
      <c r="AM27" s="19"/>
    </row>
    <row r="28">
      <c r="E28" s="19"/>
      <c r="F28" s="19"/>
      <c r="G28" s="19"/>
      <c r="T28" s="19"/>
      <c r="U28" s="19"/>
      <c r="AH28" s="19"/>
      <c r="AI28" s="19"/>
      <c r="AJ28" s="19"/>
      <c r="AK28" s="19"/>
      <c r="AL28" s="19"/>
      <c r="AM28" s="19"/>
    </row>
    <row r="29">
      <c r="E29" s="19"/>
      <c r="F29" s="19"/>
      <c r="G29" s="19"/>
      <c r="T29" s="19"/>
      <c r="U29" s="19"/>
      <c r="AH29" s="19"/>
      <c r="AI29" s="19"/>
      <c r="AJ29" s="19"/>
      <c r="AK29" s="19"/>
      <c r="AL29" s="19"/>
      <c r="AM29" s="19"/>
    </row>
    <row r="30">
      <c r="E30" s="19"/>
      <c r="F30" s="19"/>
      <c r="G30" s="19"/>
      <c r="T30" s="19"/>
      <c r="U30" s="19"/>
      <c r="AH30" s="19"/>
      <c r="AI30" s="19"/>
      <c r="AJ30" s="19"/>
      <c r="AK30" s="19"/>
      <c r="AL30" s="19"/>
      <c r="AM30" s="19"/>
    </row>
    <row r="31">
      <c r="E31" s="19"/>
      <c r="F31" s="19"/>
      <c r="G31" s="19"/>
      <c r="T31" s="19"/>
      <c r="U31" s="19"/>
      <c r="AH31" s="19"/>
      <c r="AI31" s="19"/>
      <c r="AJ31" s="19"/>
      <c r="AK31" s="19"/>
      <c r="AL31" s="19"/>
      <c r="AM31" s="19"/>
    </row>
    <row r="32"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</row>
    <row r="33"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</row>
    <row r="34"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</row>
    <row r="35"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</row>
    <row r="4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</row>
    <row r="43">
      <c r="A43" s="22" t="s">
        <v>62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</row>
    <row r="44"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</row>
    <row r="45">
      <c r="E45" s="23" t="s">
        <v>63</v>
      </c>
      <c r="F45" s="23" t="s">
        <v>64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</row>
    <row r="46">
      <c r="E46" s="19">
        <v>22.28</v>
      </c>
      <c r="F46" s="24" t="s">
        <v>65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</row>
    <row r="47">
      <c r="E47" s="19">
        <v>11.31</v>
      </c>
      <c r="F47" s="24" t="s">
        <v>65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</row>
    <row r="48">
      <c r="E48" s="19">
        <v>35.57</v>
      </c>
      <c r="F48" s="25" t="s">
        <v>66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</row>
    <row r="49">
      <c r="E49" s="19">
        <v>66.01</v>
      </c>
      <c r="F49" s="25" t="s">
        <v>66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</row>
    <row r="50">
      <c r="E50" s="19">
        <v>130.52</v>
      </c>
      <c r="F50" s="25" t="s">
        <v>66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>
      <c r="E51" s="19">
        <v>314.16</v>
      </c>
      <c r="F51" s="25" t="s">
        <v>66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</row>
    <row r="52">
      <c r="E52" s="19">
        <v>647.35</v>
      </c>
      <c r="F52" s="25" t="s">
        <v>66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>
      <c r="E53" s="19">
        <v>1464.58</v>
      </c>
      <c r="F53" s="25" t="s">
        <v>66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>
      <c r="A54" s="22" t="s">
        <v>67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>
      <c r="A55" s="19" t="s">
        <v>58</v>
      </c>
      <c r="B55" s="19"/>
      <c r="C55" s="19" t="s">
        <v>8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 t="str">
        <f t="shared" ref="R55:R61" si="1">IFERROR(RANK(R24, $I24:$R24, 0), )</f>
        <v/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</row>
    <row r="56">
      <c r="A56" s="19" t="s">
        <v>10</v>
      </c>
      <c r="B56" s="19" t="s">
        <v>0</v>
      </c>
      <c r="C56" s="19" t="s">
        <v>14</v>
      </c>
      <c r="D56" s="5" t="s">
        <v>55</v>
      </c>
      <c r="E56" s="23" t="s">
        <v>63</v>
      </c>
      <c r="F56" s="23" t="s">
        <v>64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 t="str">
        <f t="shared" si="1"/>
        <v/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</row>
    <row r="57">
      <c r="A57" s="19">
        <v>1.0</v>
      </c>
      <c r="B57" s="19" t="s">
        <v>32</v>
      </c>
      <c r="C57" s="21">
        <v>8.3</v>
      </c>
      <c r="D57" s="9">
        <v>10.2</v>
      </c>
      <c r="E57" s="19">
        <v>6.19</v>
      </c>
      <c r="F57" s="24" t="s">
        <v>65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 t="str">
        <f t="shared" si="1"/>
        <v/>
      </c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</row>
    <row r="58">
      <c r="A58" s="19">
        <v>2.0</v>
      </c>
      <c r="B58" s="19" t="s">
        <v>41</v>
      </c>
      <c r="C58" s="21">
        <v>3.7</v>
      </c>
      <c r="D58" s="9">
        <v>4.5</v>
      </c>
      <c r="E58" s="19">
        <v>2.85</v>
      </c>
      <c r="F58" s="24" t="s">
        <v>65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 t="str">
        <f t="shared" si="1"/>
        <v/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</row>
    <row r="59">
      <c r="A59" s="19">
        <v>3.0</v>
      </c>
      <c r="B59" s="19" t="s">
        <v>42</v>
      </c>
      <c r="C59" s="21">
        <v>26.4</v>
      </c>
      <c r="D59" s="9">
        <v>37.9</v>
      </c>
      <c r="E59" s="19">
        <v>14.35</v>
      </c>
      <c r="F59" s="25" t="s">
        <v>66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 t="str">
        <f t="shared" si="1"/>
        <v/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</row>
    <row r="60">
      <c r="A60" s="19">
        <v>4.0</v>
      </c>
      <c r="B60" s="19" t="s">
        <v>46</v>
      </c>
      <c r="C60" s="21">
        <v>37.8</v>
      </c>
      <c r="D60" s="9">
        <v>55.6</v>
      </c>
      <c r="E60" s="19">
        <v>19.73</v>
      </c>
      <c r="F60" s="25" t="s">
        <v>66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 t="str">
        <f t="shared" si="1"/>
        <v/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</row>
    <row r="61">
      <c r="A61" s="19">
        <v>5.0</v>
      </c>
      <c r="B61" s="19" t="s">
        <v>47</v>
      </c>
      <c r="C61" s="21">
        <v>38.0</v>
      </c>
      <c r="D61" s="9">
        <v>52.4</v>
      </c>
      <c r="E61" s="19">
        <v>23.58</v>
      </c>
      <c r="F61" s="25" t="s">
        <v>66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 t="str">
        <f t="shared" si="1"/>
        <v/>
      </c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</row>
    <row r="62">
      <c r="A62" s="19">
        <v>6.0</v>
      </c>
      <c r="B62" s="19" t="s">
        <v>48</v>
      </c>
      <c r="C62" s="21">
        <v>46.5</v>
      </c>
      <c r="D62" s="9">
        <v>63.0</v>
      </c>
      <c r="E62" s="19">
        <v>30.49</v>
      </c>
      <c r="F62" s="25" t="s">
        <v>66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</row>
    <row r="63">
      <c r="A63" s="19">
        <v>7.0</v>
      </c>
      <c r="B63" s="19" t="s">
        <v>50</v>
      </c>
      <c r="C63" s="21">
        <v>43.4</v>
      </c>
      <c r="D63" s="9">
        <v>61.5</v>
      </c>
      <c r="E63" s="19">
        <v>26.52</v>
      </c>
      <c r="F63" s="25" t="s">
        <v>66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</row>
    <row r="64">
      <c r="A64" s="19">
        <v>8.0</v>
      </c>
      <c r="B64" s="19" t="s">
        <v>51</v>
      </c>
      <c r="C64" s="21">
        <v>43.5</v>
      </c>
      <c r="D64" s="9">
        <v>59.5</v>
      </c>
      <c r="E64" s="19">
        <v>29.46</v>
      </c>
      <c r="F64" s="25" t="s">
        <v>66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</row>
    <row r="65">
      <c r="A65" s="19">
        <v>11.0</v>
      </c>
      <c r="B65" s="19" t="s">
        <v>15</v>
      </c>
      <c r="C65" s="21">
        <v>41.3</v>
      </c>
      <c r="D65" s="21">
        <v>52.6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</row>
    <row r="67">
      <c r="A67" s="22" t="s">
        <v>68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</row>
    <row r="68">
      <c r="A68" s="19" t="s">
        <v>58</v>
      </c>
      <c r="B68" s="19" t="s">
        <v>8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</row>
    <row r="69">
      <c r="A69" s="19" t="s">
        <v>10</v>
      </c>
      <c r="B69" s="19" t="s">
        <v>14</v>
      </c>
      <c r="C69" s="19" t="s">
        <v>55</v>
      </c>
      <c r="D69" s="23" t="s">
        <v>63</v>
      </c>
      <c r="E69" s="23" t="s">
        <v>64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</row>
    <row r="70">
      <c r="A70" s="19">
        <v>1.0</v>
      </c>
      <c r="B70" s="21">
        <v>2.1</v>
      </c>
      <c r="C70" s="21">
        <v>2.3</v>
      </c>
      <c r="D70" s="19">
        <v>1.95</v>
      </c>
      <c r="E70" s="24" t="s">
        <v>65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</row>
    <row r="71">
      <c r="A71" s="19">
        <v>2.0</v>
      </c>
      <c r="B71" s="21">
        <v>0.7</v>
      </c>
      <c r="C71" s="21">
        <v>0.8</v>
      </c>
      <c r="D71" s="19">
        <v>0.54</v>
      </c>
      <c r="E71" s="24" t="s">
        <v>65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</row>
    <row r="72">
      <c r="A72" s="19">
        <v>3.0</v>
      </c>
      <c r="B72" s="21">
        <v>9.8</v>
      </c>
      <c r="C72" s="21">
        <v>16.7</v>
      </c>
      <c r="D72" s="19">
        <v>2.63</v>
      </c>
      <c r="E72" s="25" t="s">
        <v>66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</row>
    <row r="73">
      <c r="A73" s="19">
        <v>4.0</v>
      </c>
      <c r="B73" s="21">
        <v>9.9</v>
      </c>
      <c r="C73" s="21">
        <v>16.4</v>
      </c>
      <c r="D73" s="19">
        <v>3.21</v>
      </c>
      <c r="E73" s="25" t="s">
        <v>66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</row>
    <row r="74">
      <c r="A74" s="19">
        <v>5.0</v>
      </c>
      <c r="B74" s="21">
        <v>6.4</v>
      </c>
      <c r="C74" s="21">
        <v>10.1</v>
      </c>
      <c r="D74" s="19">
        <v>2.74</v>
      </c>
      <c r="E74" s="25" t="s">
        <v>66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</row>
    <row r="75">
      <c r="A75" s="19">
        <v>6.0</v>
      </c>
      <c r="B75" s="21">
        <v>4.5</v>
      </c>
      <c r="C75" s="21">
        <v>6.9</v>
      </c>
      <c r="D75" s="19">
        <v>2.3</v>
      </c>
      <c r="E75" s="24" t="s">
        <v>65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</row>
    <row r="76">
      <c r="A76" s="19">
        <v>11.0</v>
      </c>
      <c r="B76" s="19"/>
      <c r="C76" s="21">
        <v>8.2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</row>
    <row r="77">
      <c r="A77" s="19" t="s">
        <v>60</v>
      </c>
      <c r="B77" s="21">
        <v>33.4</v>
      </c>
      <c r="C77" s="21">
        <v>61.4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</row>
    <row r="78">
      <c r="A78" s="22" t="s">
        <v>69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</row>
    <row r="79">
      <c r="A79" s="19" t="s">
        <v>57</v>
      </c>
      <c r="B79" s="19" t="s">
        <v>8</v>
      </c>
      <c r="C79" s="19"/>
      <c r="D79" s="19"/>
      <c r="E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</row>
    <row r="80">
      <c r="A80" s="19" t="s">
        <v>10</v>
      </c>
      <c r="B80" s="19" t="s">
        <v>14</v>
      </c>
      <c r="C80" s="19" t="s">
        <v>55</v>
      </c>
      <c r="D80" s="26" t="s">
        <v>63</v>
      </c>
      <c r="E80" s="19"/>
      <c r="I80" s="22" t="s">
        <v>63</v>
      </c>
      <c r="J80" s="22" t="s">
        <v>71</v>
      </c>
      <c r="K80" s="22" t="s">
        <v>72</v>
      </c>
      <c r="L80" s="22" t="s">
        <v>73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</row>
    <row r="81">
      <c r="A81" s="19">
        <v>1.0</v>
      </c>
      <c r="B81" s="20">
        <v>337.0</v>
      </c>
      <c r="C81" s="20">
        <v>184.0</v>
      </c>
      <c r="D81" s="20">
        <f t="shared" ref="D81:D86" si="2">B81-C81</f>
        <v>153</v>
      </c>
      <c r="E81" s="19"/>
      <c r="I81" s="19">
        <f t="shared" ref="I81:I89" si="3">G81-H81</f>
        <v>7830563.554</v>
      </c>
      <c r="J81" s="19">
        <f t="shared" ref="J81:J86" si="4">ROUND((D81/I81)*100000,2)</f>
        <v>1.95</v>
      </c>
      <c r="K81" s="19">
        <f t="shared" ref="K81:K88" si="5">ROUND((D90/I81)*100000,2)</f>
        <v>6.19</v>
      </c>
      <c r="L81" s="19">
        <f t="shared" ref="L81:L88" si="6">ROUND((D101/I81)*100000,2)</f>
        <v>22.28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</row>
    <row r="82">
      <c r="A82" s="19">
        <v>2.0</v>
      </c>
      <c r="B82" s="20">
        <v>277.0</v>
      </c>
      <c r="C82" s="20">
        <v>168.0</v>
      </c>
      <c r="D82" s="20">
        <f t="shared" si="2"/>
        <v>109</v>
      </c>
      <c r="E82" s="19"/>
      <c r="I82" s="19">
        <f t="shared" si="3"/>
        <v>20001580.61</v>
      </c>
      <c r="J82" s="19">
        <f t="shared" si="4"/>
        <v>0.54</v>
      </c>
      <c r="K82" s="19">
        <f t="shared" si="5"/>
        <v>2.85</v>
      </c>
      <c r="L82" s="19">
        <f t="shared" si="6"/>
        <v>11.31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>
      <c r="A83" s="19">
        <v>3.0</v>
      </c>
      <c r="B83" s="20">
        <v>4329.0</v>
      </c>
      <c r="C83" s="20">
        <v>3765.0</v>
      </c>
      <c r="D83" s="20">
        <f t="shared" si="2"/>
        <v>564</v>
      </c>
      <c r="E83" s="19"/>
      <c r="I83" s="19">
        <f t="shared" si="3"/>
        <v>21428559.05</v>
      </c>
      <c r="J83" s="19">
        <f t="shared" si="4"/>
        <v>2.63</v>
      </c>
      <c r="K83" s="19">
        <f t="shared" si="5"/>
        <v>14.35</v>
      </c>
      <c r="L83" s="19">
        <f t="shared" si="6"/>
        <v>35.57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>
      <c r="A84" s="19">
        <v>4.0</v>
      </c>
      <c r="B84" s="20">
        <v>4236.0</v>
      </c>
      <c r="C84" s="20">
        <v>3555.0</v>
      </c>
      <c r="D84" s="20">
        <f t="shared" si="2"/>
        <v>681</v>
      </c>
      <c r="E84" s="19"/>
      <c r="I84" s="19">
        <f t="shared" si="3"/>
        <v>21210959.53</v>
      </c>
      <c r="J84" s="19">
        <f t="shared" si="4"/>
        <v>3.21</v>
      </c>
      <c r="K84" s="19">
        <f t="shared" si="5"/>
        <v>19.73</v>
      </c>
      <c r="L84" s="19">
        <f t="shared" si="6"/>
        <v>66.01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>
      <c r="A85" s="19">
        <v>5.0</v>
      </c>
      <c r="B85" s="20">
        <v>2581.0</v>
      </c>
      <c r="C85" s="20">
        <v>2025.0</v>
      </c>
      <c r="D85" s="20">
        <f t="shared" si="2"/>
        <v>556</v>
      </c>
      <c r="E85" s="19"/>
      <c r="I85" s="19">
        <f t="shared" si="3"/>
        <v>20303487.83</v>
      </c>
      <c r="J85" s="19">
        <f t="shared" si="4"/>
        <v>2.74</v>
      </c>
      <c r="K85" s="19">
        <f t="shared" si="5"/>
        <v>23.58</v>
      </c>
      <c r="L85" s="19">
        <f t="shared" si="6"/>
        <v>130.52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>
      <c r="A86" s="19">
        <v>6.0</v>
      </c>
      <c r="B86" s="20">
        <v>1989.0</v>
      </c>
      <c r="C86" s="20">
        <v>1479.0</v>
      </c>
      <c r="D86" s="20">
        <f t="shared" si="2"/>
        <v>510</v>
      </c>
      <c r="E86" s="19"/>
      <c r="I86" s="19">
        <f t="shared" si="3"/>
        <v>22194401.91</v>
      </c>
      <c r="J86" s="19">
        <f t="shared" si="4"/>
        <v>2.3</v>
      </c>
      <c r="K86" s="19">
        <f t="shared" si="5"/>
        <v>30.49</v>
      </c>
      <c r="L86" s="19">
        <f t="shared" si="6"/>
        <v>314.16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>
      <c r="A87" s="22" t="s">
        <v>74</v>
      </c>
      <c r="B87" s="19"/>
      <c r="C87" s="19">
        <f>TTEST(C81:C86,D81:D86,1,3)</f>
        <v>0.03787651759</v>
      </c>
      <c r="D87" s="19"/>
      <c r="E87" s="19"/>
      <c r="I87" s="19">
        <f t="shared" si="3"/>
        <v>20360367.55</v>
      </c>
      <c r="J87" s="19"/>
      <c r="K87" s="19">
        <f t="shared" si="5"/>
        <v>26.52</v>
      </c>
      <c r="L87" s="19">
        <f t="shared" si="6"/>
        <v>647.35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>
      <c r="A88" s="19" t="s">
        <v>57</v>
      </c>
      <c r="B88" s="19" t="s">
        <v>8</v>
      </c>
      <c r="C88" s="19"/>
      <c r="D88" s="19"/>
      <c r="E88" s="19"/>
      <c r="I88" s="19">
        <f t="shared" si="3"/>
        <v>13418923.43</v>
      </c>
      <c r="J88" s="19"/>
      <c r="K88" s="19">
        <f t="shared" si="5"/>
        <v>29.46</v>
      </c>
      <c r="L88" s="19">
        <f t="shared" si="6"/>
        <v>1464.58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</row>
    <row r="89">
      <c r="A89" s="19" t="s">
        <v>10</v>
      </c>
      <c r="B89" s="19" t="s">
        <v>14</v>
      </c>
      <c r="C89" s="19" t="s">
        <v>55</v>
      </c>
      <c r="D89" s="27" t="s">
        <v>63</v>
      </c>
      <c r="E89" s="19"/>
      <c r="I89" s="19">
        <f t="shared" si="3"/>
        <v>160481177.4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</row>
    <row r="90">
      <c r="A90" s="19">
        <v>1.0</v>
      </c>
      <c r="B90" s="20">
        <v>1316.0</v>
      </c>
      <c r="C90" s="20">
        <v>831.0</v>
      </c>
      <c r="D90" s="20">
        <f t="shared" ref="D90:D97" si="7">B90-C90</f>
        <v>485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>
      <c r="A91" s="19">
        <v>2.0</v>
      </c>
      <c r="B91" s="20">
        <v>1521.0</v>
      </c>
      <c r="C91" s="20">
        <v>950.0</v>
      </c>
      <c r="D91" s="20">
        <f t="shared" si="7"/>
        <v>571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>
      <c r="A92" s="19">
        <v>3.0</v>
      </c>
      <c r="B92" s="20">
        <v>11619.0</v>
      </c>
      <c r="C92" s="20">
        <v>8545.0</v>
      </c>
      <c r="D92" s="20">
        <f t="shared" si="7"/>
        <v>3074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>
      <c r="A93" s="19">
        <v>4.0</v>
      </c>
      <c r="B93" s="20">
        <v>16209.0</v>
      </c>
      <c r="C93" s="20">
        <v>12025.0</v>
      </c>
      <c r="D93" s="20">
        <f t="shared" si="7"/>
        <v>4184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</row>
    <row r="94">
      <c r="A94" s="19">
        <v>5.0</v>
      </c>
      <c r="B94" s="20">
        <v>15354.0</v>
      </c>
      <c r="C94" s="20">
        <v>10566.0</v>
      </c>
      <c r="D94" s="20">
        <f t="shared" si="7"/>
        <v>4788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</row>
    <row r="95">
      <c r="A95" s="19">
        <v>6.0</v>
      </c>
      <c r="B95" s="20">
        <v>20357.0</v>
      </c>
      <c r="C95" s="20">
        <v>13591.0</v>
      </c>
      <c r="D95" s="20">
        <f t="shared" si="7"/>
        <v>6766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>
      <c r="A96" s="19">
        <v>7.0</v>
      </c>
      <c r="B96" s="20">
        <v>17057.0</v>
      </c>
      <c r="C96" s="20">
        <v>11658.0</v>
      </c>
      <c r="D96" s="20">
        <f t="shared" si="7"/>
        <v>5399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>
      <c r="A97" s="19">
        <v>8.0</v>
      </c>
      <c r="B97" s="20">
        <v>10967.0</v>
      </c>
      <c r="C97" s="20">
        <v>7014.0</v>
      </c>
      <c r="D97" s="20">
        <f t="shared" si="7"/>
        <v>3953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>
      <c r="A98" s="22" t="s">
        <v>75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>
      <c r="A99" s="19" t="s">
        <v>57</v>
      </c>
      <c r="B99" s="19" t="s">
        <v>8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>
      <c r="A100" s="19" t="s">
        <v>10</v>
      </c>
      <c r="B100" s="19" t="s">
        <v>14</v>
      </c>
      <c r="C100" s="19" t="s">
        <v>55</v>
      </c>
      <c r="D100" s="27" t="s">
        <v>63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>
      <c r="A101" s="19">
        <v>1.0</v>
      </c>
      <c r="B101" s="20">
        <v>4068.0</v>
      </c>
      <c r="C101" s="20">
        <v>2323.0</v>
      </c>
      <c r="D101" s="28">
        <f t="shared" ref="D101:D108" si="8">B101-C101</f>
        <v>1745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>
      <c r="A102" s="19">
        <v>2.0</v>
      </c>
      <c r="B102" s="20">
        <v>5340.0</v>
      </c>
      <c r="C102" s="20">
        <v>3077.0</v>
      </c>
      <c r="D102" s="20">
        <f t="shared" si="8"/>
        <v>2263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>
      <c r="A103" s="19">
        <v>3.0</v>
      </c>
      <c r="B103" s="20">
        <v>28486.0</v>
      </c>
      <c r="C103" s="20">
        <v>20864.0</v>
      </c>
      <c r="D103" s="20">
        <f t="shared" si="8"/>
        <v>7622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>
      <c r="A104" s="19">
        <v>4.0</v>
      </c>
      <c r="B104" s="20">
        <v>45463.0</v>
      </c>
      <c r="C104" s="20">
        <v>31462.0</v>
      </c>
      <c r="D104" s="20">
        <f t="shared" si="8"/>
        <v>14001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A105" s="19">
        <v>5.0</v>
      </c>
      <c r="B105" s="20">
        <v>69573.0</v>
      </c>
      <c r="C105" s="20">
        <v>43072.0</v>
      </c>
      <c r="D105" s="20">
        <f t="shared" si="8"/>
        <v>26501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A106" s="19">
        <v>6.0</v>
      </c>
      <c r="B106" s="20">
        <v>177724.0</v>
      </c>
      <c r="C106" s="20">
        <v>107997.0</v>
      </c>
      <c r="D106" s="20">
        <f t="shared" si="8"/>
        <v>69727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>
      <c r="A107" s="19">
        <v>7.0</v>
      </c>
      <c r="B107" s="20">
        <v>338127.0</v>
      </c>
      <c r="C107" s="20">
        <v>206325.0</v>
      </c>
      <c r="D107" s="20">
        <f t="shared" si="8"/>
        <v>131802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>
      <c r="A108" s="19">
        <v>8.0</v>
      </c>
      <c r="B108" s="20">
        <v>454429.0</v>
      </c>
      <c r="C108" s="20">
        <v>257898.0</v>
      </c>
      <c r="D108" s="20">
        <f t="shared" si="8"/>
        <v>196531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>
      <c r="A109" s="22" t="s">
        <v>76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>
      <c r="A110" s="19" t="s">
        <v>57</v>
      </c>
      <c r="B110" s="19" t="s">
        <v>8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>
      <c r="A111" s="19" t="s">
        <v>4</v>
      </c>
      <c r="B111" s="19" t="s">
        <v>14</v>
      </c>
      <c r="C111" s="19" t="s">
        <v>55</v>
      </c>
      <c r="D111" s="23" t="s">
        <v>63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>
      <c r="A112" s="19" t="s">
        <v>16</v>
      </c>
      <c r="B112" s="20">
        <v>941.0</v>
      </c>
      <c r="C112" s="20">
        <v>628.0</v>
      </c>
      <c r="D112" s="20">
        <f t="shared" ref="D112:D116" si="9">B112-C112</f>
        <v>313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>
      <c r="A113" s="19" t="s">
        <v>17</v>
      </c>
      <c r="B113" s="20">
        <v>1496.0</v>
      </c>
      <c r="C113" s="20">
        <v>859.0</v>
      </c>
      <c r="D113" s="20">
        <f t="shared" si="9"/>
        <v>637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>
      <c r="A114" s="19" t="s">
        <v>34</v>
      </c>
      <c r="B114" s="20">
        <v>4329.0</v>
      </c>
      <c r="C114" s="20">
        <v>3765.0</v>
      </c>
      <c r="D114" s="20">
        <f t="shared" si="9"/>
        <v>564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>
      <c r="A115" s="19" t="s">
        <v>25</v>
      </c>
      <c r="B115" s="20">
        <v>4878.0</v>
      </c>
      <c r="C115" s="20">
        <v>3903.0</v>
      </c>
      <c r="D115" s="20">
        <f t="shared" si="9"/>
        <v>975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>
      <c r="A116" s="19" t="s">
        <v>19</v>
      </c>
      <c r="B116" s="20">
        <v>11619.0</v>
      </c>
      <c r="C116" s="20">
        <v>8545.0</v>
      </c>
      <c r="D116" s="20">
        <f t="shared" si="9"/>
        <v>3074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>
      <c r="D119" s="23" t="s">
        <v>63</v>
      </c>
      <c r="E119" s="23" t="s">
        <v>64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>
      <c r="D120" s="19">
        <v>1.46</v>
      </c>
      <c r="E120" s="24" t="s">
        <v>65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>
      <c r="D121" s="19">
        <v>2.97</v>
      </c>
      <c r="E121" s="24" t="s">
        <v>65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>
      <c r="D122" s="19">
        <v>2.63</v>
      </c>
      <c r="E122" s="25" t="s">
        <v>66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>
      <c r="D123" s="19">
        <v>4.55</v>
      </c>
      <c r="E123" s="25" t="s">
        <v>66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>
      <c r="D124" s="19">
        <v>14.35</v>
      </c>
      <c r="E124" s="25" t="s">
        <v>66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</row>
  </sheetData>
  <conditionalFormatting sqref="I34:R62">
    <cfRule type="colorScale" priority="1">
      <colorScale>
        <cfvo type="min"/>
        <cfvo type="formula" val="5.5"/>
        <cfvo type="max"/>
        <color rgb="FF57BB8A"/>
        <color rgb="FFFFFFFF"/>
        <color rgb="FFE67C73"/>
      </colorScale>
    </cfRule>
  </conditionalFormatting>
  <conditionalFormatting sqref="W34:AF62">
    <cfRule type="colorScale" priority="2">
      <colorScale>
        <cfvo type="formula" val="1"/>
        <cfvo type="formula" val="5"/>
        <cfvo type="formula" val="10"/>
        <color rgb="FF57BB8A"/>
        <color rgb="FFFFFFFF"/>
        <color rgb="FFEA9999"/>
      </colorScale>
    </cfRule>
  </conditionalFormatting>
  <conditionalFormatting sqref="F46:F53 F57:F64 E70:E75 E120:E124">
    <cfRule type="containsText" dxfId="0" priority="3" operator="containsText" text="YES">
      <formula>NOT(ISERROR(SEARCH(("YES"),(F46))))</formula>
    </cfRule>
  </conditionalFormatting>
  <conditionalFormatting sqref="F46:F53 F57:F64 E70:E75 E120:E124">
    <cfRule type="containsText" dxfId="1" priority="4" operator="containsText" text="NO">
      <formula>NOT(ISERROR(SEARCH(("NO"),(F46))))</formula>
    </cfRule>
  </conditionalFormatting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43"/>
    <col customWidth="1" min="2" max="2" width="19.86"/>
    <col customWidth="1" min="8" max="8" width="53.71"/>
    <col customWidth="1" min="9" max="19" width="10.0"/>
    <col customWidth="1" min="20" max="20" width="14.29"/>
    <col customWidth="1" min="21" max="21" width="7.0"/>
    <col customWidth="1" min="22" max="22" width="30.71"/>
    <col customWidth="1" min="23" max="23" width="7.0"/>
    <col customWidth="1" min="24" max="24" width="12.71"/>
  </cols>
  <sheetData>
    <row r="1">
      <c r="A1" s="19" t="s">
        <v>4</v>
      </c>
      <c r="B1" s="19" t="s">
        <v>57</v>
      </c>
      <c r="C1" s="19" t="s">
        <v>77</v>
      </c>
      <c r="D1" s="19" t="s">
        <v>58</v>
      </c>
      <c r="E1" s="19" t="s">
        <v>78</v>
      </c>
      <c r="F1" s="19" t="s">
        <v>59</v>
      </c>
      <c r="G1" s="19"/>
      <c r="H1" s="19" t="s">
        <v>57</v>
      </c>
      <c r="I1" s="19" t="s">
        <v>10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 t="s">
        <v>58</v>
      </c>
      <c r="W1" s="19" t="s">
        <v>10</v>
      </c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ht="21.75" customHeight="1">
      <c r="A2" s="19" t="s">
        <v>16</v>
      </c>
      <c r="B2" s="20">
        <v>611105.0</v>
      </c>
      <c r="C2" s="20">
        <v>611105.0</v>
      </c>
      <c r="D2" s="21">
        <v>193.3</v>
      </c>
      <c r="E2" s="21">
        <v>193.3</v>
      </c>
      <c r="F2" s="19">
        <v>1.0</v>
      </c>
      <c r="G2" s="19"/>
      <c r="H2" s="19" t="s">
        <v>4</v>
      </c>
      <c r="I2" s="19">
        <v>1.0</v>
      </c>
      <c r="J2" s="19">
        <v>2.0</v>
      </c>
      <c r="K2" s="19">
        <v>3.0</v>
      </c>
      <c r="L2" s="19">
        <v>4.0</v>
      </c>
      <c r="M2" s="19">
        <v>5.0</v>
      </c>
      <c r="N2" s="19">
        <v>6.0</v>
      </c>
      <c r="O2" s="19">
        <v>7.0</v>
      </c>
      <c r="P2" s="19">
        <v>8.0</v>
      </c>
      <c r="Q2" s="19">
        <v>9.0</v>
      </c>
      <c r="R2" s="19">
        <v>10.0</v>
      </c>
      <c r="S2" s="19">
        <v>11.0</v>
      </c>
      <c r="T2" s="19"/>
      <c r="U2" s="19"/>
      <c r="V2" s="19" t="s">
        <v>4</v>
      </c>
      <c r="W2" s="19">
        <v>1.0</v>
      </c>
      <c r="X2" s="19">
        <v>2.0</v>
      </c>
      <c r="Y2" s="19">
        <v>3.0</v>
      </c>
      <c r="Z2" s="19">
        <v>4.0</v>
      </c>
      <c r="AA2" s="19">
        <v>5.0</v>
      </c>
      <c r="AB2" s="19">
        <v>6.0</v>
      </c>
      <c r="AC2" s="19">
        <v>7.0</v>
      </c>
      <c r="AD2" s="19">
        <v>8.0</v>
      </c>
      <c r="AE2" s="19">
        <v>9.0</v>
      </c>
      <c r="AF2" s="19">
        <v>10.0</v>
      </c>
      <c r="AG2" s="19">
        <v>11.0</v>
      </c>
      <c r="AH2" s="19"/>
      <c r="AI2" s="19"/>
      <c r="AJ2" s="19"/>
      <c r="AK2" s="19"/>
      <c r="AL2" s="19"/>
      <c r="AM2" s="19"/>
    </row>
    <row r="3">
      <c r="A3" s="19" t="s">
        <v>17</v>
      </c>
      <c r="B3" s="20">
        <v>584881.0</v>
      </c>
      <c r="C3" s="20">
        <v>584881.0</v>
      </c>
      <c r="D3" s="21">
        <v>185.0</v>
      </c>
      <c r="E3" s="21">
        <v>185.0</v>
      </c>
      <c r="F3" s="19">
        <v>2.0</v>
      </c>
      <c r="G3" s="19"/>
      <c r="H3" s="19" t="s">
        <v>16</v>
      </c>
      <c r="I3" s="20">
        <v>169.0</v>
      </c>
      <c r="J3" s="20">
        <v>173.0</v>
      </c>
      <c r="K3" s="20">
        <v>941.0</v>
      </c>
      <c r="L3" s="20">
        <v>3258.0</v>
      </c>
      <c r="M3" s="20">
        <v>10341.0</v>
      </c>
      <c r="N3" s="20">
        <v>35167.0</v>
      </c>
      <c r="O3" s="20">
        <v>72568.0</v>
      </c>
      <c r="P3" s="20">
        <v>98432.0</v>
      </c>
      <c r="Q3" s="20">
        <v>147255.0</v>
      </c>
      <c r="R3" s="20">
        <v>242469.0</v>
      </c>
      <c r="S3" s="20">
        <v>611105.0</v>
      </c>
      <c r="T3" s="19"/>
      <c r="U3" s="19"/>
      <c r="V3" s="19" t="s">
        <v>16</v>
      </c>
      <c r="W3" s="21">
        <v>1.1</v>
      </c>
      <c r="X3" s="21">
        <v>0.4</v>
      </c>
      <c r="Y3" s="21">
        <v>2.1</v>
      </c>
      <c r="Z3" s="21">
        <v>7.6</v>
      </c>
      <c r="AA3" s="21">
        <v>25.6</v>
      </c>
      <c r="AB3" s="21">
        <v>80.3</v>
      </c>
      <c r="AC3" s="21">
        <v>184.6</v>
      </c>
      <c r="AD3" s="21">
        <v>390.3</v>
      </c>
      <c r="AE3" s="21">
        <v>1095.1</v>
      </c>
      <c r="AF3" s="21">
        <v>4013.9</v>
      </c>
      <c r="AG3" s="21">
        <v>193.3</v>
      </c>
      <c r="AH3" s="19"/>
      <c r="AI3" s="19"/>
      <c r="AJ3" s="19"/>
      <c r="AK3" s="19"/>
      <c r="AL3" s="19"/>
      <c r="AM3" s="19"/>
    </row>
    <row r="4" ht="15.75" customHeight="1">
      <c r="A4" s="19" t="s">
        <v>18</v>
      </c>
      <c r="B4" s="20">
        <v>149205.0</v>
      </c>
      <c r="C4" s="20">
        <v>149205.0</v>
      </c>
      <c r="D4" s="21">
        <v>47.2</v>
      </c>
      <c r="E4" s="21">
        <v>47.2</v>
      </c>
      <c r="F4" s="19">
        <v>3.0</v>
      </c>
      <c r="G4" s="19"/>
      <c r="H4" s="19" t="s">
        <v>17</v>
      </c>
      <c r="I4" s="20">
        <v>328.0</v>
      </c>
      <c r="J4" s="20">
        <v>895.0</v>
      </c>
      <c r="K4" s="20">
        <v>1496.0</v>
      </c>
      <c r="L4" s="20">
        <v>3673.0</v>
      </c>
      <c r="M4" s="20">
        <v>11349.0</v>
      </c>
      <c r="N4" s="20">
        <v>46185.0</v>
      </c>
      <c r="O4" s="20">
        <v>113324.0</v>
      </c>
      <c r="P4" s="20">
        <v>155552.0</v>
      </c>
      <c r="Q4" s="20">
        <v>153214.0</v>
      </c>
      <c r="R4" s="20">
        <v>98792.0</v>
      </c>
      <c r="S4" s="20">
        <v>584881.0</v>
      </c>
      <c r="T4" s="19"/>
      <c r="U4" s="19"/>
      <c r="V4" s="19" t="s">
        <v>17</v>
      </c>
      <c r="W4" s="21">
        <v>2.1</v>
      </c>
      <c r="X4" s="21">
        <v>2.2</v>
      </c>
      <c r="Y4" s="21">
        <v>3.4</v>
      </c>
      <c r="Z4" s="21">
        <v>8.6</v>
      </c>
      <c r="AA4" s="21">
        <v>28.1</v>
      </c>
      <c r="AB4" s="21">
        <v>105.5</v>
      </c>
      <c r="AC4" s="21">
        <v>288.2</v>
      </c>
      <c r="AD4" s="21">
        <v>616.9</v>
      </c>
      <c r="AE4" s="21">
        <v>1139.4</v>
      </c>
      <c r="AF4" s="21">
        <v>1635.4</v>
      </c>
      <c r="AG4" s="21">
        <v>185.0</v>
      </c>
      <c r="AH4" s="19"/>
      <c r="AI4" s="19"/>
      <c r="AJ4" s="19"/>
      <c r="AK4" s="19"/>
      <c r="AL4" s="19"/>
      <c r="AM4" s="19"/>
    </row>
    <row r="5">
      <c r="A5" s="19" t="s">
        <v>19</v>
      </c>
      <c r="B5" s="20">
        <v>130557.0</v>
      </c>
      <c r="C5" s="20">
        <v>130557.0</v>
      </c>
      <c r="D5" s="21">
        <v>41.3</v>
      </c>
      <c r="E5" s="21">
        <v>41.3</v>
      </c>
      <c r="F5" s="19">
        <v>4.0</v>
      </c>
      <c r="G5" s="19"/>
      <c r="H5" s="19" t="s">
        <v>18</v>
      </c>
      <c r="I5" s="20">
        <v>64.0</v>
      </c>
      <c r="J5" s="20">
        <v>155.0</v>
      </c>
      <c r="K5" s="20">
        <v>155.0</v>
      </c>
      <c r="L5" s="20">
        <v>291.0</v>
      </c>
      <c r="M5" s="20">
        <v>760.0</v>
      </c>
      <c r="N5" s="20">
        <v>4619.0</v>
      </c>
      <c r="O5" s="20">
        <v>15942.0</v>
      </c>
      <c r="P5" s="20">
        <v>35603.0</v>
      </c>
      <c r="Q5" s="20">
        <v>49346.0</v>
      </c>
      <c r="R5" s="20">
        <v>42245.0</v>
      </c>
      <c r="S5" s="20">
        <v>149205.0</v>
      </c>
      <c r="T5" s="19"/>
      <c r="U5" s="19"/>
      <c r="V5" s="19" t="s">
        <v>20</v>
      </c>
      <c r="W5" s="21">
        <v>0.2</v>
      </c>
      <c r="X5" s="21">
        <v>0.2</v>
      </c>
      <c r="Y5" s="21">
        <v>0.3</v>
      </c>
      <c r="Z5" s="21">
        <v>1.2</v>
      </c>
      <c r="AA5" s="21">
        <v>4.2</v>
      </c>
      <c r="AB5" s="21">
        <v>12.4</v>
      </c>
      <c r="AC5" s="21">
        <v>28.9</v>
      </c>
      <c r="AD5" s="21">
        <v>74.2</v>
      </c>
      <c r="AE5" s="21">
        <v>268.9</v>
      </c>
      <c r="AF5" s="21">
        <v>906.0</v>
      </c>
      <c r="AG5" s="21">
        <v>40.8</v>
      </c>
      <c r="AH5" s="19"/>
      <c r="AI5" s="19"/>
      <c r="AJ5" s="19"/>
      <c r="AK5" s="19"/>
      <c r="AL5" s="19"/>
      <c r="AM5" s="19"/>
    </row>
    <row r="6">
      <c r="A6" s="19" t="s">
        <v>20</v>
      </c>
      <c r="B6" s="20">
        <v>128978.0</v>
      </c>
      <c r="C6" s="20">
        <v>128978.0</v>
      </c>
      <c r="D6" s="21">
        <v>40.8</v>
      </c>
      <c r="E6" s="21">
        <v>40.8</v>
      </c>
      <c r="F6" s="19">
        <v>5.0</v>
      </c>
      <c r="G6" s="19"/>
      <c r="H6" s="19" t="s">
        <v>19</v>
      </c>
      <c r="I6" s="20">
        <v>1316.0</v>
      </c>
      <c r="J6" s="20">
        <v>1521.0</v>
      </c>
      <c r="K6" s="20">
        <v>11619.0</v>
      </c>
      <c r="L6" s="20">
        <v>16209.0</v>
      </c>
      <c r="M6" s="20">
        <v>15354.0</v>
      </c>
      <c r="N6" s="20">
        <v>20357.0</v>
      </c>
      <c r="O6" s="20">
        <v>17057.0</v>
      </c>
      <c r="P6" s="20">
        <v>10967.0</v>
      </c>
      <c r="Q6" s="20">
        <v>14438.0</v>
      </c>
      <c r="R6" s="20">
        <v>20537.0</v>
      </c>
      <c r="S6" s="20">
        <v>130557.0</v>
      </c>
      <c r="T6" s="19"/>
      <c r="U6" s="19"/>
      <c r="V6" s="19" t="s">
        <v>18</v>
      </c>
      <c r="W6" s="21">
        <v>0.4</v>
      </c>
      <c r="X6" s="21">
        <v>0.4</v>
      </c>
      <c r="Y6" s="21">
        <v>0.4</v>
      </c>
      <c r="Z6" s="21">
        <v>0.7</v>
      </c>
      <c r="AA6" s="21">
        <v>1.9</v>
      </c>
      <c r="AB6" s="21">
        <v>10.6</v>
      </c>
      <c r="AC6" s="21">
        <v>40.5</v>
      </c>
      <c r="AD6" s="21">
        <v>141.2</v>
      </c>
      <c r="AE6" s="21">
        <v>367.0</v>
      </c>
      <c r="AF6" s="21">
        <v>699.3</v>
      </c>
      <c r="AG6" s="21">
        <v>47.2</v>
      </c>
      <c r="AH6" s="19"/>
      <c r="AI6" s="19"/>
      <c r="AJ6" s="19"/>
      <c r="AK6" s="19"/>
      <c r="AL6" s="19"/>
      <c r="AM6" s="19"/>
    </row>
    <row r="7">
      <c r="A7" s="19" t="s">
        <v>21</v>
      </c>
      <c r="B7" s="20">
        <v>84767.0</v>
      </c>
      <c r="C7" s="20">
        <v>84767.0</v>
      </c>
      <c r="D7" s="21">
        <v>26.8</v>
      </c>
      <c r="E7" s="21">
        <v>26.8</v>
      </c>
      <c r="F7" s="19">
        <v>6.0</v>
      </c>
      <c r="G7" s="19"/>
      <c r="H7" s="19" t="s">
        <v>20</v>
      </c>
      <c r="I7" s="20">
        <v>38.0</v>
      </c>
      <c r="J7" s="20">
        <v>89.0</v>
      </c>
      <c r="K7" s="20">
        <v>153.0</v>
      </c>
      <c r="L7" s="20">
        <v>508.0</v>
      </c>
      <c r="M7" s="20">
        <v>1687.0</v>
      </c>
      <c r="N7" s="20">
        <v>5425.0</v>
      </c>
      <c r="O7" s="20">
        <v>11364.0</v>
      </c>
      <c r="P7" s="20">
        <v>18722.0</v>
      </c>
      <c r="Q7" s="20">
        <v>36151.0</v>
      </c>
      <c r="R7" s="20">
        <v>54729.0</v>
      </c>
      <c r="S7" s="20">
        <v>128978.0</v>
      </c>
      <c r="T7" s="19"/>
      <c r="U7" s="19"/>
      <c r="V7" s="19" t="s">
        <v>21</v>
      </c>
      <c r="W7" s="19"/>
      <c r="X7" s="19"/>
      <c r="Y7" s="19"/>
      <c r="Z7" s="19"/>
      <c r="AA7" s="19"/>
      <c r="AB7" s="19"/>
      <c r="AC7" s="19"/>
      <c r="AD7" s="21">
        <v>18.1</v>
      </c>
      <c r="AE7" s="21">
        <v>171.6</v>
      </c>
      <c r="AF7" s="21">
        <v>929.5</v>
      </c>
      <c r="AG7" s="21">
        <v>26.8</v>
      </c>
      <c r="AH7" s="19"/>
      <c r="AI7" s="19"/>
      <c r="AJ7" s="19"/>
      <c r="AK7" s="19"/>
      <c r="AL7" s="19"/>
      <c r="AM7" s="19"/>
    </row>
    <row r="8">
      <c r="A8" s="19" t="s">
        <v>22</v>
      </c>
      <c r="B8" s="20">
        <v>75578.0</v>
      </c>
      <c r="C8" s="20">
        <v>75578.0</v>
      </c>
      <c r="D8" s="21">
        <v>23.9</v>
      </c>
      <c r="E8" s="21">
        <v>23.9</v>
      </c>
      <c r="F8" s="19">
        <v>7.0</v>
      </c>
      <c r="G8" s="19"/>
      <c r="H8" s="19" t="s">
        <v>21</v>
      </c>
      <c r="I8" s="19"/>
      <c r="J8" s="19"/>
      <c r="K8" s="19"/>
      <c r="L8" s="19"/>
      <c r="M8" s="19"/>
      <c r="N8" s="19"/>
      <c r="O8" s="19"/>
      <c r="P8" s="20">
        <v>4561.0</v>
      </c>
      <c r="Q8" s="20">
        <v>23073.0</v>
      </c>
      <c r="R8" s="20">
        <v>56152.0</v>
      </c>
      <c r="S8" s="20">
        <v>84767.0</v>
      </c>
      <c r="T8" s="19"/>
      <c r="U8" s="19"/>
      <c r="V8" s="19" t="s">
        <v>19</v>
      </c>
      <c r="W8" s="21">
        <v>8.3</v>
      </c>
      <c r="X8" s="21">
        <v>3.7</v>
      </c>
      <c r="Y8" s="21">
        <v>26.4</v>
      </c>
      <c r="Z8" s="21">
        <v>37.8</v>
      </c>
      <c r="AA8" s="21">
        <v>38.0</v>
      </c>
      <c r="AB8" s="21">
        <v>46.5</v>
      </c>
      <c r="AC8" s="21">
        <v>43.4</v>
      </c>
      <c r="AD8" s="21">
        <v>43.5</v>
      </c>
      <c r="AE8" s="21">
        <v>107.4</v>
      </c>
      <c r="AF8" s="21">
        <v>340.0</v>
      </c>
      <c r="AG8" s="21">
        <v>41.3</v>
      </c>
      <c r="AH8" s="19"/>
      <c r="AI8" s="19"/>
      <c r="AJ8" s="19"/>
      <c r="AK8" s="19"/>
      <c r="AL8" s="19"/>
      <c r="AM8" s="19"/>
    </row>
    <row r="9">
      <c r="A9" s="19" t="s">
        <v>23</v>
      </c>
      <c r="B9" s="20">
        <v>56979.0</v>
      </c>
      <c r="C9" s="20">
        <v>56979.0</v>
      </c>
      <c r="D9" s="21">
        <v>18.0</v>
      </c>
      <c r="E9" s="21">
        <v>18.0</v>
      </c>
      <c r="F9" s="19">
        <v>8.0</v>
      </c>
      <c r="G9" s="19"/>
      <c r="H9" s="19" t="s">
        <v>22</v>
      </c>
      <c r="I9" s="19"/>
      <c r="J9" s="20">
        <v>24.0</v>
      </c>
      <c r="K9" s="20">
        <v>193.0</v>
      </c>
      <c r="L9" s="20">
        <v>684.0</v>
      </c>
      <c r="M9" s="20">
        <v>1952.0</v>
      </c>
      <c r="N9" s="20">
        <v>5899.0</v>
      </c>
      <c r="O9" s="20">
        <v>13061.0</v>
      </c>
      <c r="P9" s="20">
        <v>17279.0</v>
      </c>
      <c r="Q9" s="20">
        <v>19587.0</v>
      </c>
      <c r="R9" s="20">
        <v>16885.0</v>
      </c>
      <c r="S9" s="20">
        <v>75578.0</v>
      </c>
      <c r="T9" s="19"/>
      <c r="U9" s="19"/>
      <c r="V9" s="19" t="s">
        <v>23</v>
      </c>
      <c r="W9" s="21">
        <v>0.6</v>
      </c>
      <c r="X9" s="21">
        <v>0.3</v>
      </c>
      <c r="Y9" s="21">
        <v>0.4</v>
      </c>
      <c r="Z9" s="21">
        <v>1.0</v>
      </c>
      <c r="AA9" s="21">
        <v>2.2</v>
      </c>
      <c r="AB9" s="21">
        <v>5.1</v>
      </c>
      <c r="AC9" s="21">
        <v>12.2</v>
      </c>
      <c r="AD9" s="21">
        <v>29.5</v>
      </c>
      <c r="AE9" s="21">
        <v>103.7</v>
      </c>
      <c r="AF9" s="21">
        <v>441.0</v>
      </c>
      <c r="AG9" s="21">
        <v>18.0</v>
      </c>
      <c r="AH9" s="19"/>
      <c r="AI9" s="19"/>
      <c r="AJ9" s="19"/>
      <c r="AK9" s="19"/>
      <c r="AL9" s="19"/>
      <c r="AM9" s="19"/>
    </row>
    <row r="10">
      <c r="A10" s="19" t="s">
        <v>24</v>
      </c>
      <c r="B10" s="20">
        <v>47112.0</v>
      </c>
      <c r="C10" s="20">
        <v>47112.0</v>
      </c>
      <c r="D10" s="21">
        <v>14.9</v>
      </c>
      <c r="E10" s="21">
        <v>14.9</v>
      </c>
      <c r="F10" s="19">
        <v>9.0</v>
      </c>
      <c r="G10" s="19"/>
      <c r="H10" s="19" t="s">
        <v>23</v>
      </c>
      <c r="I10" s="20">
        <v>102.0</v>
      </c>
      <c r="J10" s="20">
        <v>128.0</v>
      </c>
      <c r="K10" s="20">
        <v>197.0</v>
      </c>
      <c r="L10" s="20">
        <v>449.0</v>
      </c>
      <c r="M10" s="20">
        <v>881.0</v>
      </c>
      <c r="N10" s="20">
        <v>2233.0</v>
      </c>
      <c r="O10" s="20">
        <v>4779.0</v>
      </c>
      <c r="P10" s="20">
        <v>7441.0</v>
      </c>
      <c r="Q10" s="20">
        <v>13949.0</v>
      </c>
      <c r="R10" s="20">
        <v>26641.0</v>
      </c>
      <c r="S10" s="20">
        <v>56979.0</v>
      </c>
      <c r="T10" s="19"/>
      <c r="U10" s="19"/>
      <c r="V10" s="19" t="s">
        <v>22</v>
      </c>
      <c r="W10" s="19"/>
      <c r="X10" s="21">
        <v>0.1</v>
      </c>
      <c r="Y10" s="21">
        <v>0.4</v>
      </c>
      <c r="Z10" s="21">
        <v>1.6</v>
      </c>
      <c r="AA10" s="21">
        <v>4.8</v>
      </c>
      <c r="AB10" s="21">
        <v>13.5</v>
      </c>
      <c r="AC10" s="21">
        <v>33.2</v>
      </c>
      <c r="AD10" s="21">
        <v>68.5</v>
      </c>
      <c r="AE10" s="21">
        <v>145.7</v>
      </c>
      <c r="AF10" s="21">
        <v>279.5</v>
      </c>
      <c r="AG10" s="21">
        <v>23.9</v>
      </c>
      <c r="AH10" s="19"/>
      <c r="AI10" s="19"/>
      <c r="AJ10" s="19"/>
      <c r="AK10" s="19"/>
      <c r="AL10" s="19"/>
      <c r="AM10" s="19"/>
    </row>
    <row r="11">
      <c r="A11" s="19" t="s">
        <v>25</v>
      </c>
      <c r="B11" s="20">
        <v>41149.0</v>
      </c>
      <c r="C11" s="20">
        <v>41149.0</v>
      </c>
      <c r="D11" s="21">
        <v>13.0</v>
      </c>
      <c r="E11" s="21">
        <v>13.0</v>
      </c>
      <c r="F11" s="19">
        <v>10.0</v>
      </c>
      <c r="G11" s="19"/>
      <c r="H11" s="19" t="s">
        <v>24</v>
      </c>
      <c r="I11" s="19"/>
      <c r="J11" s="19"/>
      <c r="K11" s="19"/>
      <c r="L11" s="20">
        <v>266.0</v>
      </c>
      <c r="M11" s="20">
        <v>627.0</v>
      </c>
      <c r="N11" s="20">
        <v>2025.0</v>
      </c>
      <c r="O11" s="20">
        <v>4947.0</v>
      </c>
      <c r="P11" s="20">
        <v>8524.0</v>
      </c>
      <c r="Q11" s="20">
        <v>13317.0</v>
      </c>
      <c r="R11" s="20">
        <v>17239.0</v>
      </c>
      <c r="S11" s="20">
        <v>47112.0</v>
      </c>
      <c r="T11" s="19"/>
      <c r="U11" s="19"/>
      <c r="V11" s="19" t="s">
        <v>24</v>
      </c>
      <c r="W11" s="19"/>
      <c r="X11" s="19"/>
      <c r="Y11" s="19"/>
      <c r="Z11" s="21">
        <v>0.6</v>
      </c>
      <c r="AA11" s="21">
        <v>1.5</v>
      </c>
      <c r="AB11" s="21">
        <v>4.6</v>
      </c>
      <c r="AC11" s="21">
        <v>12.6</v>
      </c>
      <c r="AD11" s="21">
        <v>33.8</v>
      </c>
      <c r="AE11" s="21">
        <v>99.0</v>
      </c>
      <c r="AF11" s="21">
        <v>285.4</v>
      </c>
      <c r="AG11" s="21">
        <v>14.9</v>
      </c>
      <c r="AH11" s="19"/>
      <c r="AI11" s="19"/>
      <c r="AJ11" s="19"/>
      <c r="AK11" s="19"/>
      <c r="AL11" s="19"/>
      <c r="AM11" s="19"/>
    </row>
    <row r="12">
      <c r="A12" s="19" t="s">
        <v>26</v>
      </c>
      <c r="B12" s="20">
        <v>38156.0</v>
      </c>
      <c r="C12" s="20">
        <v>38156.0</v>
      </c>
      <c r="D12" s="21">
        <v>12.1</v>
      </c>
      <c r="E12" s="21">
        <v>12.1</v>
      </c>
      <c r="F12" s="19">
        <v>11.0</v>
      </c>
      <c r="G12" s="19"/>
      <c r="H12" s="19" t="s">
        <v>25</v>
      </c>
      <c r="I12" s="19"/>
      <c r="J12" s="20">
        <v>395.0</v>
      </c>
      <c r="K12" s="20">
        <v>4878.0</v>
      </c>
      <c r="L12" s="20">
        <v>6348.0</v>
      </c>
      <c r="M12" s="20">
        <v>6551.0</v>
      </c>
      <c r="N12" s="20">
        <v>8621.0</v>
      </c>
      <c r="O12" s="20">
        <v>7135.0</v>
      </c>
      <c r="P12" s="20">
        <v>3794.0</v>
      </c>
      <c r="Q12" s="19"/>
      <c r="R12" s="19"/>
      <c r="S12" s="20">
        <v>41149.0</v>
      </c>
      <c r="T12" s="19"/>
      <c r="U12" s="19"/>
      <c r="V12" s="19" t="s">
        <v>28</v>
      </c>
      <c r="W12" s="19"/>
      <c r="X12" s="19"/>
      <c r="Y12" s="19"/>
      <c r="Z12" s="19"/>
      <c r="AA12" s="21">
        <v>1.0</v>
      </c>
      <c r="AB12" s="21">
        <v>3.5</v>
      </c>
      <c r="AC12" s="21">
        <v>8.0</v>
      </c>
      <c r="AD12" s="21">
        <v>17.3</v>
      </c>
      <c r="AE12" s="21">
        <v>53.7</v>
      </c>
      <c r="AF12" s="21">
        <v>231.6</v>
      </c>
      <c r="AG12" s="21">
        <v>9.7</v>
      </c>
      <c r="AH12" s="19"/>
      <c r="AI12" s="19"/>
      <c r="AJ12" s="19"/>
      <c r="AK12" s="19"/>
      <c r="AL12" s="19"/>
      <c r="AM12" s="19"/>
    </row>
    <row r="13">
      <c r="A13" s="19" t="s">
        <v>27</v>
      </c>
      <c r="B13" s="20">
        <v>36427.0</v>
      </c>
      <c r="C13" s="20">
        <v>36427.0</v>
      </c>
      <c r="D13" s="21">
        <v>11.5</v>
      </c>
      <c r="E13" s="21">
        <v>11.5</v>
      </c>
      <c r="F13" s="19">
        <v>12.0</v>
      </c>
      <c r="G13" s="19"/>
      <c r="H13" s="19" t="s">
        <v>26</v>
      </c>
      <c r="I13" s="20">
        <v>53.0</v>
      </c>
      <c r="J13" s="20">
        <v>55.0</v>
      </c>
      <c r="K13" s="20">
        <v>138.0</v>
      </c>
      <c r="L13" s="20">
        <v>333.0</v>
      </c>
      <c r="M13" s="20">
        <v>820.0</v>
      </c>
      <c r="N13" s="20">
        <v>2445.0</v>
      </c>
      <c r="O13" s="20">
        <v>5345.0</v>
      </c>
      <c r="P13" s="20">
        <v>7693.0</v>
      </c>
      <c r="Q13" s="20">
        <v>10274.0</v>
      </c>
      <c r="R13" s="20">
        <v>10848.0</v>
      </c>
      <c r="S13" s="20">
        <v>38156.0</v>
      </c>
      <c r="T13" s="19"/>
      <c r="U13" s="19"/>
      <c r="V13" s="19" t="s">
        <v>26</v>
      </c>
      <c r="W13" s="21">
        <v>0.3</v>
      </c>
      <c r="X13" s="21">
        <v>0.1</v>
      </c>
      <c r="Y13" s="21">
        <v>0.3</v>
      </c>
      <c r="Z13" s="21">
        <v>0.8</v>
      </c>
      <c r="AA13" s="21">
        <v>2.0</v>
      </c>
      <c r="AB13" s="21">
        <v>5.6</v>
      </c>
      <c r="AC13" s="21">
        <v>13.6</v>
      </c>
      <c r="AD13" s="21">
        <v>30.5</v>
      </c>
      <c r="AE13" s="21">
        <v>76.4</v>
      </c>
      <c r="AF13" s="21">
        <v>179.6</v>
      </c>
      <c r="AG13" s="21">
        <v>12.1</v>
      </c>
      <c r="AH13" s="19"/>
      <c r="AI13" s="19"/>
      <c r="AJ13" s="19"/>
      <c r="AK13" s="19"/>
      <c r="AL13" s="19"/>
      <c r="AM13" s="19"/>
    </row>
    <row r="14">
      <c r="A14" s="19" t="s">
        <v>28</v>
      </c>
      <c r="B14" s="20">
        <v>30770.0</v>
      </c>
      <c r="C14" s="20">
        <v>30770.0</v>
      </c>
      <c r="D14" s="21">
        <v>9.7</v>
      </c>
      <c r="E14" s="21">
        <v>9.7</v>
      </c>
      <c r="F14" s="19">
        <v>13.0</v>
      </c>
      <c r="G14" s="19"/>
      <c r="H14" s="19" t="s">
        <v>27</v>
      </c>
      <c r="I14" s="19"/>
      <c r="J14" s="19"/>
      <c r="K14" s="19"/>
      <c r="L14" s="20">
        <v>676.0</v>
      </c>
      <c r="M14" s="20">
        <v>2491.0</v>
      </c>
      <c r="N14" s="20">
        <v>8785.0</v>
      </c>
      <c r="O14" s="20">
        <v>11951.0</v>
      </c>
      <c r="P14" s="20">
        <v>7087.0</v>
      </c>
      <c r="Q14" s="20">
        <v>4014.0</v>
      </c>
      <c r="R14" s="19"/>
      <c r="S14" s="20">
        <v>36427.0</v>
      </c>
      <c r="T14" s="19"/>
      <c r="U14" s="19"/>
      <c r="V14" s="19" t="s">
        <v>29</v>
      </c>
      <c r="W14" s="19"/>
      <c r="X14" s="19"/>
      <c r="Y14" s="19"/>
      <c r="Z14" s="19"/>
      <c r="AA14" s="19"/>
      <c r="AB14" s="19"/>
      <c r="AC14" s="19"/>
      <c r="AD14" s="21">
        <v>12.7</v>
      </c>
      <c r="AE14" s="21">
        <v>78.5</v>
      </c>
      <c r="AF14" s="21">
        <v>178.2</v>
      </c>
      <c r="AG14" s="21">
        <v>8.0</v>
      </c>
      <c r="AH14" s="19"/>
      <c r="AI14" s="19"/>
      <c r="AJ14" s="19"/>
      <c r="AK14" s="19"/>
      <c r="AL14" s="19"/>
      <c r="AM14" s="19"/>
    </row>
    <row r="15">
      <c r="A15" s="19" t="s">
        <v>29</v>
      </c>
      <c r="B15" s="20">
        <v>25196.0</v>
      </c>
      <c r="C15" s="20">
        <v>25196.0</v>
      </c>
      <c r="D15" s="21">
        <v>8.0</v>
      </c>
      <c r="E15" s="21">
        <v>8.0</v>
      </c>
      <c r="F15" s="19">
        <v>14.0</v>
      </c>
      <c r="G15" s="19"/>
      <c r="H15" s="19" t="s">
        <v>28</v>
      </c>
      <c r="I15" s="19"/>
      <c r="J15" s="19"/>
      <c r="K15" s="19"/>
      <c r="L15" s="19"/>
      <c r="M15" s="20">
        <v>409.0</v>
      </c>
      <c r="N15" s="20">
        <v>1513.0</v>
      </c>
      <c r="O15" s="20">
        <v>3137.0</v>
      </c>
      <c r="P15" s="20">
        <v>4357.0</v>
      </c>
      <c r="Q15" s="20">
        <v>7216.0</v>
      </c>
      <c r="R15" s="20">
        <v>13991.0</v>
      </c>
      <c r="S15" s="20">
        <v>30770.0</v>
      </c>
      <c r="T15" s="19"/>
      <c r="U15" s="19"/>
      <c r="V15" s="19" t="s">
        <v>30</v>
      </c>
      <c r="W15" s="19"/>
      <c r="X15" s="19"/>
      <c r="Y15" s="19"/>
      <c r="Z15" s="19"/>
      <c r="AA15" s="19"/>
      <c r="AB15" s="19"/>
      <c r="AC15" s="19"/>
      <c r="AD15" s="19"/>
      <c r="AE15" s="21">
        <v>36.7</v>
      </c>
      <c r="AF15" s="21">
        <v>152.6</v>
      </c>
      <c r="AG15" s="21">
        <v>5.9</v>
      </c>
      <c r="AH15" s="19"/>
      <c r="AI15" s="19"/>
      <c r="AJ15" s="19"/>
      <c r="AK15" s="19"/>
      <c r="AL15" s="19"/>
      <c r="AM15" s="19"/>
    </row>
    <row r="16">
      <c r="A16" s="19" t="s">
        <v>30</v>
      </c>
      <c r="B16" s="20">
        <v>18579.0</v>
      </c>
      <c r="C16" s="20">
        <v>18579.0</v>
      </c>
      <c r="D16" s="21">
        <v>5.9</v>
      </c>
      <c r="E16" s="21">
        <v>5.9</v>
      </c>
      <c r="F16" s="19">
        <v>15.0</v>
      </c>
      <c r="G16" s="19"/>
      <c r="H16" s="19" t="s">
        <v>29</v>
      </c>
      <c r="I16" s="19"/>
      <c r="J16" s="19"/>
      <c r="K16" s="19"/>
      <c r="L16" s="19"/>
      <c r="M16" s="19"/>
      <c r="N16" s="19"/>
      <c r="O16" s="19"/>
      <c r="P16" s="20">
        <v>3215.0</v>
      </c>
      <c r="Q16" s="20">
        <v>10549.0</v>
      </c>
      <c r="R16" s="20">
        <v>10762.0</v>
      </c>
      <c r="S16" s="20">
        <v>25196.0</v>
      </c>
      <c r="T16" s="19"/>
      <c r="U16" s="19"/>
      <c r="V16" s="19" t="s">
        <v>35</v>
      </c>
      <c r="W16" s="21">
        <v>0.3</v>
      </c>
      <c r="X16" s="21">
        <v>0.2</v>
      </c>
      <c r="Y16" s="19"/>
      <c r="Z16" s="19"/>
      <c r="AA16" s="19"/>
      <c r="AB16" s="19"/>
      <c r="AC16" s="21">
        <v>3.8</v>
      </c>
      <c r="AD16" s="21">
        <v>11.0</v>
      </c>
      <c r="AE16" s="21">
        <v>33.9</v>
      </c>
      <c r="AF16" s="21">
        <v>84.5</v>
      </c>
      <c r="AG16" s="19"/>
      <c r="AH16" s="19"/>
      <c r="AI16" s="19"/>
      <c r="AJ16" s="19"/>
      <c r="AK16" s="19"/>
      <c r="AL16" s="19"/>
      <c r="AM16" s="19"/>
    </row>
    <row r="17">
      <c r="A17" s="19" t="s">
        <v>60</v>
      </c>
      <c r="B17" s="20">
        <v>2059439.0</v>
      </c>
      <c r="C17" s="20">
        <v>137295.93333333332</v>
      </c>
      <c r="D17" s="21">
        <v>651.4</v>
      </c>
      <c r="E17" s="21">
        <v>43.42666666666666</v>
      </c>
      <c r="F17" s="19">
        <v>120.0</v>
      </c>
      <c r="G17" s="19"/>
      <c r="H17" s="19" t="s">
        <v>30</v>
      </c>
      <c r="I17" s="19"/>
      <c r="J17" s="19"/>
      <c r="K17" s="19"/>
      <c r="L17" s="19"/>
      <c r="M17" s="19"/>
      <c r="N17" s="19"/>
      <c r="O17" s="19"/>
      <c r="P17" s="19"/>
      <c r="Q17" s="20">
        <v>4933.0</v>
      </c>
      <c r="R17" s="20">
        <v>9218.0</v>
      </c>
      <c r="S17" s="20">
        <v>18579.0</v>
      </c>
      <c r="T17" s="19"/>
      <c r="U17" s="19"/>
      <c r="V17" s="19" t="s">
        <v>27</v>
      </c>
      <c r="W17" s="19"/>
      <c r="X17" s="19"/>
      <c r="Y17" s="19"/>
      <c r="Z17" s="21">
        <v>1.6</v>
      </c>
      <c r="AA17" s="21">
        <v>6.2</v>
      </c>
      <c r="AB17" s="21">
        <v>20.1</v>
      </c>
      <c r="AC17" s="21">
        <v>30.4</v>
      </c>
      <c r="AD17" s="21">
        <v>28.1</v>
      </c>
      <c r="AE17" s="21">
        <v>29.9</v>
      </c>
      <c r="AF17" s="19"/>
      <c r="AG17" s="21">
        <v>11.5</v>
      </c>
      <c r="AH17" s="19"/>
      <c r="AI17" s="19"/>
      <c r="AJ17" s="19"/>
      <c r="AK17" s="19"/>
      <c r="AL17" s="19"/>
      <c r="AM17" s="19"/>
    </row>
    <row r="18">
      <c r="A18" s="22" t="s">
        <v>61</v>
      </c>
      <c r="B18" s="19"/>
      <c r="C18" s="19"/>
      <c r="D18" s="19"/>
      <c r="E18" s="19"/>
      <c r="F18" s="19"/>
      <c r="G18" s="19"/>
      <c r="H18" s="19" t="s">
        <v>35</v>
      </c>
      <c r="I18" s="20">
        <v>47.0</v>
      </c>
      <c r="J18" s="20">
        <v>65.0</v>
      </c>
      <c r="K18" s="19"/>
      <c r="L18" s="19"/>
      <c r="M18" s="19"/>
      <c r="N18" s="19"/>
      <c r="O18" s="20">
        <v>1502.0</v>
      </c>
      <c r="P18" s="20">
        <v>2773.0</v>
      </c>
      <c r="Q18" s="20">
        <v>4554.0</v>
      </c>
      <c r="R18" s="20">
        <v>5106.0</v>
      </c>
      <c r="S18" s="19"/>
      <c r="T18" s="19"/>
      <c r="U18" s="19"/>
      <c r="V18" s="19" t="s">
        <v>25</v>
      </c>
      <c r="W18" s="19"/>
      <c r="X18" s="21">
        <v>1.0</v>
      </c>
      <c r="Y18" s="21">
        <v>11.1</v>
      </c>
      <c r="Z18" s="21">
        <v>14.8</v>
      </c>
      <c r="AA18" s="21">
        <v>16.2</v>
      </c>
      <c r="AB18" s="21">
        <v>19.7</v>
      </c>
      <c r="AC18" s="21">
        <v>18.1</v>
      </c>
      <c r="AD18" s="21">
        <v>15.0</v>
      </c>
      <c r="AE18" s="19"/>
      <c r="AF18" s="19"/>
      <c r="AG18" s="21">
        <v>13.0</v>
      </c>
      <c r="AH18" s="19"/>
      <c r="AI18" s="19"/>
      <c r="AJ18" s="19"/>
      <c r="AK18" s="19"/>
      <c r="AL18" s="19"/>
      <c r="AM18" s="19"/>
    </row>
    <row r="19">
      <c r="G19" s="19"/>
      <c r="H19" s="19" t="s">
        <v>34</v>
      </c>
      <c r="I19" s="20">
        <v>337.0</v>
      </c>
      <c r="J19" s="20">
        <v>277.0</v>
      </c>
      <c r="K19" s="20">
        <v>4329.0</v>
      </c>
      <c r="L19" s="20">
        <v>4236.0</v>
      </c>
      <c r="M19" s="20">
        <v>2581.0</v>
      </c>
      <c r="N19" s="20">
        <v>1989.0</v>
      </c>
      <c r="O19" s="19"/>
      <c r="P19" s="19"/>
      <c r="Q19" s="19"/>
      <c r="R19" s="19"/>
      <c r="S19" s="19"/>
      <c r="T19" s="19"/>
      <c r="U19" s="19"/>
      <c r="V19" s="19" t="s">
        <v>54</v>
      </c>
      <c r="W19" s="19"/>
      <c r="X19" s="19"/>
      <c r="Y19" s="19"/>
      <c r="Z19" s="19"/>
      <c r="AA19" s="19"/>
      <c r="AB19" s="19"/>
      <c r="AC19" s="19"/>
      <c r="AD19" s="19"/>
      <c r="AE19" s="19"/>
      <c r="AF19" s="21">
        <v>63.0</v>
      </c>
      <c r="AG19" s="19"/>
      <c r="AH19" s="19"/>
      <c r="AI19" s="19"/>
      <c r="AJ19" s="19"/>
      <c r="AK19" s="19"/>
      <c r="AL19" s="19"/>
      <c r="AM19" s="19"/>
    </row>
    <row r="20">
      <c r="G20" s="19"/>
      <c r="H20" s="19" t="s">
        <v>44</v>
      </c>
      <c r="I20" s="19"/>
      <c r="J20" s="19"/>
      <c r="K20" s="20">
        <v>109.0</v>
      </c>
      <c r="L20" s="20">
        <v>631.0</v>
      </c>
      <c r="M20" s="20">
        <v>1246.0</v>
      </c>
      <c r="N20" s="20">
        <v>2378.0</v>
      </c>
      <c r="O20" s="20">
        <v>1820.0</v>
      </c>
      <c r="P20" s="19"/>
      <c r="Q20" s="19"/>
      <c r="R20" s="19"/>
      <c r="S20" s="19"/>
      <c r="T20" s="19"/>
      <c r="U20" s="19"/>
      <c r="V20" s="19" t="s">
        <v>34</v>
      </c>
      <c r="W20" s="21">
        <v>2.1</v>
      </c>
      <c r="X20" s="21">
        <v>0.7</v>
      </c>
      <c r="Y20" s="21">
        <v>9.8</v>
      </c>
      <c r="Z20" s="21">
        <v>9.9</v>
      </c>
      <c r="AA20" s="21">
        <v>6.4</v>
      </c>
      <c r="AB20" s="21">
        <v>4.5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>
      <c r="G21" s="19"/>
      <c r="H21" s="19" t="s">
        <v>49</v>
      </c>
      <c r="I21" s="19"/>
      <c r="J21" s="19"/>
      <c r="K21" s="19"/>
      <c r="L21" s="19"/>
      <c r="M21" s="19"/>
      <c r="N21" s="20">
        <v>1911.0</v>
      </c>
      <c r="O21" s="20">
        <v>3936.0</v>
      </c>
      <c r="P21" s="19"/>
      <c r="Q21" s="19"/>
      <c r="R21" s="19"/>
      <c r="S21" s="19"/>
      <c r="T21" s="19"/>
      <c r="U21" s="19"/>
      <c r="V21" s="19" t="s">
        <v>44</v>
      </c>
      <c r="W21" s="19"/>
      <c r="X21" s="19"/>
      <c r="Y21" s="21">
        <v>0.2</v>
      </c>
      <c r="Z21" s="21">
        <v>1.5</v>
      </c>
      <c r="AA21" s="21">
        <v>3.1</v>
      </c>
      <c r="AB21" s="21">
        <v>5.4</v>
      </c>
      <c r="AC21" s="21">
        <v>4.6</v>
      </c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>
      <c r="G22" s="19"/>
      <c r="H22" s="19" t="s">
        <v>54</v>
      </c>
      <c r="I22" s="19"/>
      <c r="J22" s="19"/>
      <c r="K22" s="19"/>
      <c r="L22" s="19"/>
      <c r="M22" s="19"/>
      <c r="N22" s="19"/>
      <c r="O22" s="19"/>
      <c r="P22" s="19"/>
      <c r="Q22" s="19"/>
      <c r="R22" s="20">
        <v>3803.0</v>
      </c>
      <c r="S22" s="19"/>
      <c r="T22" s="19"/>
      <c r="U22" s="19"/>
      <c r="V22" s="19" t="s">
        <v>49</v>
      </c>
      <c r="W22" s="19"/>
      <c r="X22" s="19"/>
      <c r="Y22" s="19"/>
      <c r="Z22" s="19"/>
      <c r="AA22" s="19"/>
      <c r="AB22" s="21">
        <v>4.4</v>
      </c>
      <c r="AC22" s="21">
        <v>10.0</v>
      </c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  <row r="23">
      <c r="G23" s="19"/>
      <c r="H23" s="19" t="s">
        <v>33</v>
      </c>
      <c r="I23" s="20">
        <v>476.0</v>
      </c>
      <c r="J23" s="20">
        <v>340.0</v>
      </c>
      <c r="K23" s="20">
        <v>362.0</v>
      </c>
      <c r="L23" s="20">
        <v>423.0</v>
      </c>
      <c r="M23" s="20">
        <v>441.0</v>
      </c>
      <c r="N23" s="19"/>
      <c r="O23" s="19"/>
      <c r="P23" s="19"/>
      <c r="Q23" s="19"/>
      <c r="R23" s="19"/>
      <c r="S23" s="19"/>
      <c r="T23" s="19"/>
      <c r="U23" s="19"/>
      <c r="V23" s="19" t="s">
        <v>33</v>
      </c>
      <c r="W23" s="21">
        <v>3.0</v>
      </c>
      <c r="X23" s="21">
        <v>0.8</v>
      </c>
      <c r="Y23" s="21">
        <v>0.8</v>
      </c>
      <c r="Z23" s="21">
        <v>1.0</v>
      </c>
      <c r="AA23" s="21">
        <v>1.1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</row>
    <row r="24">
      <c r="G24" s="19"/>
      <c r="H24" s="19" t="s">
        <v>43</v>
      </c>
      <c r="I24" s="19"/>
      <c r="J24" s="19"/>
      <c r="K24" s="20">
        <v>178.0</v>
      </c>
      <c r="L24" s="20">
        <v>441.0</v>
      </c>
      <c r="M24" s="19"/>
      <c r="N24" s="19"/>
      <c r="O24" s="19"/>
      <c r="P24" s="19"/>
      <c r="Q24" s="19"/>
      <c r="R24" s="19"/>
      <c r="S24" s="19"/>
      <c r="T24" s="19"/>
      <c r="U24" s="19"/>
      <c r="V24" s="19" t="s">
        <v>43</v>
      </c>
      <c r="W24" s="19"/>
      <c r="X24" s="19"/>
      <c r="Y24" s="21">
        <v>0.4</v>
      </c>
      <c r="Z24" s="21">
        <v>1.0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</row>
    <row r="25">
      <c r="G25" s="19"/>
      <c r="H25" s="19" t="s">
        <v>38</v>
      </c>
      <c r="I25" s="20">
        <v>20.0</v>
      </c>
      <c r="J25" s="20">
        <v>17.0</v>
      </c>
      <c r="K25" s="20">
        <v>93.0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 t="s">
        <v>36</v>
      </c>
      <c r="W25" s="21">
        <v>0.3</v>
      </c>
      <c r="X25" s="21">
        <v>0.1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</row>
    <row r="26">
      <c r="G26" s="19"/>
      <c r="H26" s="19" t="s">
        <v>45</v>
      </c>
      <c r="I26" s="19"/>
      <c r="J26" s="19"/>
      <c r="K26" s="20">
        <v>99.0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 t="s">
        <v>38</v>
      </c>
      <c r="W26" s="21">
        <v>0.1</v>
      </c>
      <c r="X26" s="19">
        <v>0.0</v>
      </c>
      <c r="Y26" s="21">
        <v>0.2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>
      <c r="G27" s="19"/>
      <c r="H27" s="19" t="s">
        <v>36</v>
      </c>
      <c r="I27" s="20">
        <v>45.0</v>
      </c>
      <c r="J27" s="20">
        <v>33.0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 t="s">
        <v>45</v>
      </c>
      <c r="W27" s="19"/>
      <c r="X27" s="19"/>
      <c r="Y27" s="21">
        <v>0.2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>
      <c r="G28" s="19"/>
      <c r="H28" s="19" t="s">
        <v>39</v>
      </c>
      <c r="I28" s="20">
        <v>15.0</v>
      </c>
      <c r="J28" s="20">
        <v>26.0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 t="s">
        <v>37</v>
      </c>
      <c r="W28" s="21">
        <v>0.1</v>
      </c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</row>
    <row r="29">
      <c r="G29" s="19"/>
      <c r="H29" s="19" t="s">
        <v>37</v>
      </c>
      <c r="I29" s="20">
        <v>23.0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 t="s">
        <v>39</v>
      </c>
      <c r="W29" s="19">
        <v>0.0</v>
      </c>
      <c r="X29" s="21">
        <v>0.1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</row>
    <row r="30">
      <c r="G30" s="19"/>
      <c r="H30" s="19" t="s">
        <v>40</v>
      </c>
      <c r="I30" s="20">
        <v>14.0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 t="s">
        <v>40</v>
      </c>
      <c r="W30" s="19">
        <v>0.0</v>
      </c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</row>
    <row r="31">
      <c r="G31" s="19"/>
      <c r="H31" s="19" t="s">
        <v>60</v>
      </c>
      <c r="I31" s="20">
        <v>3047.0</v>
      </c>
      <c r="J31" s="20">
        <v>4193.0</v>
      </c>
      <c r="K31" s="20">
        <v>24940.0</v>
      </c>
      <c r="L31" s="20">
        <v>38426.0</v>
      </c>
      <c r="M31" s="20">
        <v>57490.0</v>
      </c>
      <c r="N31" s="20">
        <v>149552.0</v>
      </c>
      <c r="O31" s="20">
        <v>287868.0</v>
      </c>
      <c r="P31" s="20">
        <v>386000.0</v>
      </c>
      <c r="Q31" s="20">
        <v>511870.0</v>
      </c>
      <c r="R31" s="20">
        <v>629417.0</v>
      </c>
      <c r="S31" s="20">
        <v>2059439.0</v>
      </c>
      <c r="T31" s="19"/>
      <c r="U31" s="19"/>
      <c r="V31" s="19" t="s">
        <v>60</v>
      </c>
      <c r="W31" s="21">
        <v>18.900000000000006</v>
      </c>
      <c r="X31" s="21">
        <v>10.299999999999999</v>
      </c>
      <c r="Y31" s="21">
        <v>56.39999999999999</v>
      </c>
      <c r="Z31" s="21">
        <v>89.69999999999997</v>
      </c>
      <c r="AA31" s="21">
        <v>142.29999999999998</v>
      </c>
      <c r="AB31" s="21">
        <v>341.70000000000005</v>
      </c>
      <c r="AC31" s="21">
        <v>732.1</v>
      </c>
      <c r="AD31" s="21">
        <v>1530.6</v>
      </c>
      <c r="AE31" s="21">
        <v>3806.8999999999996</v>
      </c>
      <c r="AF31" s="21">
        <v>10419.500000000002</v>
      </c>
      <c r="AG31" s="21">
        <v>651.4</v>
      </c>
      <c r="AH31" s="19"/>
      <c r="AI31" s="19"/>
      <c r="AJ31" s="19"/>
      <c r="AK31" s="19"/>
      <c r="AL31" s="19"/>
      <c r="AM31" s="19"/>
    </row>
    <row r="32"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</row>
    <row r="33">
      <c r="G33" s="19"/>
      <c r="H33" s="19"/>
      <c r="I33" s="23" t="s">
        <v>79</v>
      </c>
      <c r="J33" s="23" t="s">
        <v>80</v>
      </c>
      <c r="K33" s="23" t="s">
        <v>81</v>
      </c>
      <c r="L33" s="23" t="s">
        <v>82</v>
      </c>
      <c r="M33" s="23" t="s">
        <v>83</v>
      </c>
      <c r="N33" s="23" t="s">
        <v>84</v>
      </c>
      <c r="O33" s="23" t="s">
        <v>85</v>
      </c>
      <c r="P33" s="23" t="s">
        <v>86</v>
      </c>
      <c r="Q33" s="23" t="s">
        <v>87</v>
      </c>
      <c r="R33" s="23" t="s">
        <v>88</v>
      </c>
      <c r="S33" s="19"/>
      <c r="T33" s="19"/>
      <c r="U33" s="19"/>
      <c r="V33" s="19"/>
      <c r="W33" s="23" t="s">
        <v>79</v>
      </c>
      <c r="X33" s="23" t="s">
        <v>80</v>
      </c>
      <c r="Y33" s="23" t="s">
        <v>81</v>
      </c>
      <c r="Z33" s="23" t="s">
        <v>82</v>
      </c>
      <c r="AA33" s="23" t="s">
        <v>83</v>
      </c>
      <c r="AB33" s="23" t="s">
        <v>84</v>
      </c>
      <c r="AC33" s="23" t="s">
        <v>85</v>
      </c>
      <c r="AD33" s="23" t="s">
        <v>86</v>
      </c>
      <c r="AE33" s="23" t="s">
        <v>87</v>
      </c>
      <c r="AF33" s="23" t="s">
        <v>88</v>
      </c>
      <c r="AG33" s="19"/>
      <c r="AH33" s="19"/>
      <c r="AI33" s="19"/>
      <c r="AJ33" s="19"/>
      <c r="AK33" s="19"/>
      <c r="AL33" s="19"/>
      <c r="AM33" s="19"/>
    </row>
    <row r="34">
      <c r="G34" s="19"/>
      <c r="H34" s="19" t="str">
        <f t="shared" ref="H34:H61" si="3">H3</f>
        <v>Diseases of heart (I00-I09,I11,I13,I20-I51)</v>
      </c>
      <c r="I34" s="19">
        <f t="shared" ref="I34:R34" si="1">IFERROR(RANK(I3, $I3:$R3, 0), )</f>
        <v>10</v>
      </c>
      <c r="J34" s="19">
        <f t="shared" si="1"/>
        <v>9</v>
      </c>
      <c r="K34" s="19">
        <f t="shared" si="1"/>
        <v>8</v>
      </c>
      <c r="L34" s="19">
        <f t="shared" si="1"/>
        <v>7</v>
      </c>
      <c r="M34" s="19">
        <f t="shared" si="1"/>
        <v>6</v>
      </c>
      <c r="N34" s="19">
        <f t="shared" si="1"/>
        <v>5</v>
      </c>
      <c r="O34" s="19">
        <f t="shared" si="1"/>
        <v>4</v>
      </c>
      <c r="P34" s="19">
        <f t="shared" si="1"/>
        <v>3</v>
      </c>
      <c r="Q34" s="19">
        <f t="shared" si="1"/>
        <v>2</v>
      </c>
      <c r="R34" s="19">
        <f t="shared" si="1"/>
        <v>1</v>
      </c>
      <c r="S34" s="19"/>
      <c r="T34" s="19"/>
      <c r="U34" s="19"/>
      <c r="V34" s="19" t="s">
        <v>16</v>
      </c>
      <c r="W34" s="19">
        <f t="shared" ref="W34:AF34" si="2">IFERROR(RANK(W3, $W3:$AF3, 0), )</f>
        <v>9</v>
      </c>
      <c r="X34" s="19">
        <f t="shared" si="2"/>
        <v>10</v>
      </c>
      <c r="Y34" s="19">
        <f t="shared" si="2"/>
        <v>8</v>
      </c>
      <c r="Z34" s="19">
        <f t="shared" si="2"/>
        <v>7</v>
      </c>
      <c r="AA34" s="19">
        <f t="shared" si="2"/>
        <v>6</v>
      </c>
      <c r="AB34" s="19">
        <f t="shared" si="2"/>
        <v>5</v>
      </c>
      <c r="AC34" s="19">
        <f t="shared" si="2"/>
        <v>4</v>
      </c>
      <c r="AD34" s="19">
        <f t="shared" si="2"/>
        <v>3</v>
      </c>
      <c r="AE34" s="19">
        <f t="shared" si="2"/>
        <v>2</v>
      </c>
      <c r="AF34" s="19">
        <f t="shared" si="2"/>
        <v>1</v>
      </c>
      <c r="AG34" s="19"/>
      <c r="AH34" s="19"/>
      <c r="AI34" s="19"/>
      <c r="AJ34" s="19"/>
      <c r="AK34" s="19"/>
      <c r="AL34" s="19"/>
      <c r="AM34" s="19"/>
    </row>
    <row r="35">
      <c r="G35" s="19"/>
      <c r="H35" s="19" t="str">
        <f t="shared" si="3"/>
        <v>Malignant neoplasms (C00-C97)</v>
      </c>
      <c r="I35" s="19">
        <f t="shared" ref="I35:R35" si="4">IFERROR(RANK(I4, $I4:$R4, 0), )</f>
        <v>10</v>
      </c>
      <c r="J35" s="19">
        <f t="shared" si="4"/>
        <v>9</v>
      </c>
      <c r="K35" s="19">
        <f t="shared" si="4"/>
        <v>8</v>
      </c>
      <c r="L35" s="19">
        <f t="shared" si="4"/>
        <v>7</v>
      </c>
      <c r="M35" s="19">
        <f t="shared" si="4"/>
        <v>6</v>
      </c>
      <c r="N35" s="19">
        <f t="shared" si="4"/>
        <v>5</v>
      </c>
      <c r="O35" s="19">
        <f t="shared" si="4"/>
        <v>3</v>
      </c>
      <c r="P35" s="19">
        <f t="shared" si="4"/>
        <v>1</v>
      </c>
      <c r="Q35" s="19">
        <f t="shared" si="4"/>
        <v>2</v>
      </c>
      <c r="R35" s="19">
        <f t="shared" si="4"/>
        <v>4</v>
      </c>
      <c r="S35" s="19"/>
      <c r="T35" s="19"/>
      <c r="U35" s="19"/>
      <c r="V35" s="19" t="s">
        <v>17</v>
      </c>
      <c r="W35" s="19">
        <f t="shared" ref="W35:AF35" si="5">IFERROR(RANK(W4, $W4:$AF4, 0), )</f>
        <v>10</v>
      </c>
      <c r="X35" s="19">
        <f t="shared" si="5"/>
        <v>9</v>
      </c>
      <c r="Y35" s="19">
        <f t="shared" si="5"/>
        <v>8</v>
      </c>
      <c r="Z35" s="19">
        <f t="shared" si="5"/>
        <v>7</v>
      </c>
      <c r="AA35" s="19">
        <f t="shared" si="5"/>
        <v>6</v>
      </c>
      <c r="AB35" s="19">
        <f t="shared" si="5"/>
        <v>5</v>
      </c>
      <c r="AC35" s="19">
        <f t="shared" si="5"/>
        <v>4</v>
      </c>
      <c r="AD35" s="19">
        <f t="shared" si="5"/>
        <v>3</v>
      </c>
      <c r="AE35" s="19">
        <f t="shared" si="5"/>
        <v>2</v>
      </c>
      <c r="AF35" s="19">
        <f t="shared" si="5"/>
        <v>1</v>
      </c>
      <c r="AG35" s="19"/>
      <c r="AH35" s="19"/>
      <c r="AI35" s="19"/>
      <c r="AJ35" s="19"/>
      <c r="AK35" s="19"/>
      <c r="AL35" s="19"/>
      <c r="AM35" s="19"/>
    </row>
    <row r="36">
      <c r="A36" s="19"/>
      <c r="B36" s="19"/>
      <c r="C36" s="19"/>
      <c r="D36" s="19"/>
      <c r="E36" s="19"/>
      <c r="F36" s="19"/>
      <c r="G36" s="19"/>
      <c r="H36" s="19" t="str">
        <f t="shared" si="3"/>
        <v>Chronic lower respiratory diseases (J40-J47)</v>
      </c>
      <c r="I36" s="19">
        <f t="shared" ref="I36:R36" si="6">IFERROR(RANK(I5, $I5:$R5, 0), )</f>
        <v>10</v>
      </c>
      <c r="J36" s="19">
        <f t="shared" si="6"/>
        <v>8</v>
      </c>
      <c r="K36" s="19">
        <f t="shared" si="6"/>
        <v>8</v>
      </c>
      <c r="L36" s="19">
        <f t="shared" si="6"/>
        <v>7</v>
      </c>
      <c r="M36" s="19">
        <f t="shared" si="6"/>
        <v>6</v>
      </c>
      <c r="N36" s="19">
        <f t="shared" si="6"/>
        <v>5</v>
      </c>
      <c r="O36" s="19">
        <f t="shared" si="6"/>
        <v>4</v>
      </c>
      <c r="P36" s="19">
        <f t="shared" si="6"/>
        <v>3</v>
      </c>
      <c r="Q36" s="19">
        <f t="shared" si="6"/>
        <v>1</v>
      </c>
      <c r="R36" s="19">
        <f t="shared" si="6"/>
        <v>2</v>
      </c>
      <c r="S36" s="19"/>
      <c r="T36" s="19"/>
      <c r="U36" s="19"/>
      <c r="V36" s="19" t="s">
        <v>20</v>
      </c>
      <c r="W36" s="19">
        <f t="shared" ref="W36:AF36" si="7">IFERROR(RANK(W5, $W5:$AF5, 0), )</f>
        <v>9</v>
      </c>
      <c r="X36" s="19">
        <f t="shared" si="7"/>
        <v>9</v>
      </c>
      <c r="Y36" s="19">
        <f t="shared" si="7"/>
        <v>8</v>
      </c>
      <c r="Z36" s="19">
        <f t="shared" si="7"/>
        <v>7</v>
      </c>
      <c r="AA36" s="19">
        <f t="shared" si="7"/>
        <v>6</v>
      </c>
      <c r="AB36" s="19">
        <f t="shared" si="7"/>
        <v>5</v>
      </c>
      <c r="AC36" s="19">
        <f t="shared" si="7"/>
        <v>4</v>
      </c>
      <c r="AD36" s="19">
        <f t="shared" si="7"/>
        <v>3</v>
      </c>
      <c r="AE36" s="19">
        <f t="shared" si="7"/>
        <v>2</v>
      </c>
      <c r="AF36" s="19">
        <f t="shared" si="7"/>
        <v>1</v>
      </c>
      <c r="AG36" s="19"/>
      <c r="AH36" s="19"/>
      <c r="AI36" s="19"/>
      <c r="AJ36" s="19"/>
      <c r="AK36" s="19"/>
      <c r="AL36" s="19"/>
      <c r="AM36" s="19"/>
    </row>
    <row r="37">
      <c r="A37" s="19"/>
      <c r="B37" s="19"/>
      <c r="C37" s="19"/>
      <c r="D37" s="19"/>
      <c r="E37" s="19"/>
      <c r="F37" s="19"/>
      <c r="G37" s="19"/>
      <c r="H37" s="19" t="str">
        <f t="shared" si="3"/>
        <v>Accidents (unintentional injuries) (V01-X59,Y85-Y86)</v>
      </c>
      <c r="I37" s="19">
        <f t="shared" ref="I37:R37" si="8">IFERROR(RANK(I6, $I6:$R6, 0), )</f>
        <v>10</v>
      </c>
      <c r="J37" s="19">
        <f t="shared" si="8"/>
        <v>9</v>
      </c>
      <c r="K37" s="19">
        <f t="shared" si="8"/>
        <v>7</v>
      </c>
      <c r="L37" s="19">
        <f t="shared" si="8"/>
        <v>4</v>
      </c>
      <c r="M37" s="19">
        <f t="shared" si="8"/>
        <v>5</v>
      </c>
      <c r="N37" s="19">
        <f t="shared" si="8"/>
        <v>2</v>
      </c>
      <c r="O37" s="19">
        <f t="shared" si="8"/>
        <v>3</v>
      </c>
      <c r="P37" s="19">
        <f t="shared" si="8"/>
        <v>8</v>
      </c>
      <c r="Q37" s="19">
        <f t="shared" si="8"/>
        <v>6</v>
      </c>
      <c r="R37" s="19">
        <f t="shared" si="8"/>
        <v>1</v>
      </c>
      <c r="S37" s="19"/>
      <c r="T37" s="19"/>
      <c r="U37" s="19"/>
      <c r="V37" s="19" t="s">
        <v>18</v>
      </c>
      <c r="W37" s="19">
        <f t="shared" ref="W37:AF37" si="9">IFERROR(RANK(W6, $W6:$AF6, 0), )</f>
        <v>8</v>
      </c>
      <c r="X37" s="19">
        <f t="shared" si="9"/>
        <v>8</v>
      </c>
      <c r="Y37" s="19">
        <f t="shared" si="9"/>
        <v>8</v>
      </c>
      <c r="Z37" s="19">
        <f t="shared" si="9"/>
        <v>7</v>
      </c>
      <c r="AA37" s="19">
        <f t="shared" si="9"/>
        <v>6</v>
      </c>
      <c r="AB37" s="19">
        <f t="shared" si="9"/>
        <v>5</v>
      </c>
      <c r="AC37" s="19">
        <f t="shared" si="9"/>
        <v>4</v>
      </c>
      <c r="AD37" s="19">
        <f t="shared" si="9"/>
        <v>3</v>
      </c>
      <c r="AE37" s="19">
        <f t="shared" si="9"/>
        <v>2</v>
      </c>
      <c r="AF37" s="19">
        <f t="shared" si="9"/>
        <v>1</v>
      </c>
      <c r="AG37" s="19"/>
      <c r="AH37" s="19"/>
      <c r="AI37" s="19"/>
      <c r="AJ37" s="19"/>
      <c r="AK37" s="19"/>
      <c r="AL37" s="19"/>
      <c r="AM37" s="19"/>
    </row>
    <row r="38">
      <c r="A38" s="19"/>
      <c r="B38" s="19"/>
      <c r="C38" s="19"/>
      <c r="D38" s="19"/>
      <c r="E38" s="19"/>
      <c r="F38" s="19"/>
      <c r="G38" s="19"/>
      <c r="H38" s="19" t="str">
        <f t="shared" si="3"/>
        <v>Cerebrovascular diseases (I60-I69)</v>
      </c>
      <c r="I38" s="19">
        <f t="shared" ref="I38:R38" si="10">IFERROR(RANK(I7, $I7:$R7, 0), )</f>
        <v>10</v>
      </c>
      <c r="J38" s="19">
        <f t="shared" si="10"/>
        <v>9</v>
      </c>
      <c r="K38" s="19">
        <f t="shared" si="10"/>
        <v>8</v>
      </c>
      <c r="L38" s="19">
        <f t="shared" si="10"/>
        <v>7</v>
      </c>
      <c r="M38" s="19">
        <f t="shared" si="10"/>
        <v>6</v>
      </c>
      <c r="N38" s="19">
        <f t="shared" si="10"/>
        <v>5</v>
      </c>
      <c r="O38" s="19">
        <f t="shared" si="10"/>
        <v>4</v>
      </c>
      <c r="P38" s="19">
        <f t="shared" si="10"/>
        <v>3</v>
      </c>
      <c r="Q38" s="19">
        <f t="shared" si="10"/>
        <v>2</v>
      </c>
      <c r="R38" s="19">
        <f t="shared" si="10"/>
        <v>1</v>
      </c>
      <c r="S38" s="19"/>
      <c r="T38" s="19"/>
      <c r="U38" s="19"/>
      <c r="V38" s="19" t="s">
        <v>21</v>
      </c>
      <c r="W38" s="19" t="str">
        <f t="shared" ref="W38:AF38" si="11">IFERROR(RANK(W7, $W7:$AF7, 0), )</f>
        <v/>
      </c>
      <c r="X38" s="19" t="str">
        <f t="shared" si="11"/>
        <v/>
      </c>
      <c r="Y38" s="19" t="str">
        <f t="shared" si="11"/>
        <v/>
      </c>
      <c r="Z38" s="19" t="str">
        <f t="shared" si="11"/>
        <v/>
      </c>
      <c r="AA38" s="19" t="str">
        <f t="shared" si="11"/>
        <v/>
      </c>
      <c r="AB38" s="19" t="str">
        <f t="shared" si="11"/>
        <v/>
      </c>
      <c r="AC38" s="19" t="str">
        <f t="shared" si="11"/>
        <v/>
      </c>
      <c r="AD38" s="29">
        <f t="shared" si="11"/>
        <v>3</v>
      </c>
      <c r="AE38" s="30">
        <f t="shared" si="11"/>
        <v>2</v>
      </c>
      <c r="AF38" s="31">
        <f t="shared" si="11"/>
        <v>1</v>
      </c>
      <c r="AG38" s="19"/>
      <c r="AH38" s="19"/>
      <c r="AI38" s="19"/>
      <c r="AJ38" s="19"/>
      <c r="AK38" s="19"/>
      <c r="AL38" s="19"/>
      <c r="AM38" s="19"/>
    </row>
    <row r="39">
      <c r="A39" s="19"/>
      <c r="B39" s="19"/>
      <c r="C39" s="19"/>
      <c r="D39" s="19"/>
      <c r="E39" s="19"/>
      <c r="F39" s="19"/>
      <c r="G39" s="19"/>
      <c r="H39" s="19" t="str">
        <f t="shared" si="3"/>
        <v>Alzheimer's disease (G30)</v>
      </c>
      <c r="I39" s="19" t="str">
        <f t="shared" ref="I39:R39" si="12">IFERROR(RANK(I8, $I8:$R8, 0), )</f>
        <v/>
      </c>
      <c r="J39" s="19" t="str">
        <f t="shared" si="12"/>
        <v/>
      </c>
      <c r="K39" s="19" t="str">
        <f t="shared" si="12"/>
        <v/>
      </c>
      <c r="L39" s="19" t="str">
        <f t="shared" si="12"/>
        <v/>
      </c>
      <c r="M39" s="19" t="str">
        <f t="shared" si="12"/>
        <v/>
      </c>
      <c r="N39" s="19" t="str">
        <f t="shared" si="12"/>
        <v/>
      </c>
      <c r="O39" s="19" t="str">
        <f t="shared" si="12"/>
        <v/>
      </c>
      <c r="P39" s="19">
        <f t="shared" si="12"/>
        <v>3</v>
      </c>
      <c r="Q39" s="19">
        <f t="shared" si="12"/>
        <v>2</v>
      </c>
      <c r="R39" s="19">
        <f t="shared" si="12"/>
        <v>1</v>
      </c>
      <c r="S39" s="19"/>
      <c r="T39" s="19"/>
      <c r="U39" s="19"/>
      <c r="V39" s="19" t="s">
        <v>19</v>
      </c>
      <c r="W39" s="19">
        <f t="shared" ref="W39:AF39" si="13">IFERROR(RANK(W8, $W8:$AF8, 0), )</f>
        <v>9</v>
      </c>
      <c r="X39" s="19">
        <f t="shared" si="13"/>
        <v>10</v>
      </c>
      <c r="Y39" s="19">
        <f t="shared" si="13"/>
        <v>8</v>
      </c>
      <c r="Z39" s="19">
        <f t="shared" si="13"/>
        <v>7</v>
      </c>
      <c r="AA39" s="19">
        <f t="shared" si="13"/>
        <v>6</v>
      </c>
      <c r="AB39" s="19">
        <f t="shared" si="13"/>
        <v>3</v>
      </c>
      <c r="AC39" s="19">
        <f t="shared" si="13"/>
        <v>5</v>
      </c>
      <c r="AD39" s="19">
        <f t="shared" si="13"/>
        <v>4</v>
      </c>
      <c r="AE39" s="19">
        <f t="shared" si="13"/>
        <v>2</v>
      </c>
      <c r="AF39" s="19">
        <f t="shared" si="13"/>
        <v>1</v>
      </c>
      <c r="AG39" s="19"/>
      <c r="AH39" s="19"/>
      <c r="AI39" s="19"/>
      <c r="AJ39" s="19"/>
      <c r="AK39" s="19"/>
      <c r="AL39" s="19"/>
      <c r="AM39" s="19"/>
    </row>
    <row r="40">
      <c r="A40" s="19"/>
      <c r="B40" s="19"/>
      <c r="C40" s="19"/>
      <c r="D40" s="19"/>
      <c r="E40" s="19"/>
      <c r="F40" s="19"/>
      <c r="G40" s="19"/>
      <c r="H40" s="19" t="str">
        <f t="shared" si="3"/>
        <v>Diabetes mellitus (E10-E14)</v>
      </c>
      <c r="I40" s="19" t="str">
        <f t="shared" ref="I40:R40" si="14">IFERROR(RANK(I9, $I9:$R9, 0), )</f>
        <v/>
      </c>
      <c r="J40" s="19">
        <f t="shared" si="14"/>
        <v>9</v>
      </c>
      <c r="K40" s="19">
        <f t="shared" si="14"/>
        <v>8</v>
      </c>
      <c r="L40" s="19">
        <f t="shared" si="14"/>
        <v>7</v>
      </c>
      <c r="M40" s="19">
        <f t="shared" si="14"/>
        <v>6</v>
      </c>
      <c r="N40" s="19">
        <f t="shared" si="14"/>
        <v>5</v>
      </c>
      <c r="O40" s="19">
        <f t="shared" si="14"/>
        <v>4</v>
      </c>
      <c r="P40" s="19">
        <f t="shared" si="14"/>
        <v>2</v>
      </c>
      <c r="Q40" s="19">
        <f t="shared" si="14"/>
        <v>1</v>
      </c>
      <c r="R40" s="19">
        <f t="shared" si="14"/>
        <v>3</v>
      </c>
      <c r="S40" s="19"/>
      <c r="T40" s="19"/>
      <c r="U40" s="19"/>
      <c r="V40" s="19" t="s">
        <v>23</v>
      </c>
      <c r="W40" s="19">
        <f t="shared" ref="W40:AF40" si="15">IFERROR(RANK(W9, $W9:$AF9, 0), )</f>
        <v>8</v>
      </c>
      <c r="X40" s="19">
        <f t="shared" si="15"/>
        <v>10</v>
      </c>
      <c r="Y40" s="19">
        <f t="shared" si="15"/>
        <v>9</v>
      </c>
      <c r="Z40" s="19">
        <f t="shared" si="15"/>
        <v>7</v>
      </c>
      <c r="AA40" s="19">
        <f t="shared" si="15"/>
        <v>6</v>
      </c>
      <c r="AB40" s="19">
        <f t="shared" si="15"/>
        <v>5</v>
      </c>
      <c r="AC40" s="19">
        <f t="shared" si="15"/>
        <v>4</v>
      </c>
      <c r="AD40" s="19">
        <f t="shared" si="15"/>
        <v>3</v>
      </c>
      <c r="AE40" s="19">
        <f t="shared" si="15"/>
        <v>2</v>
      </c>
      <c r="AF40" s="19">
        <f t="shared" si="15"/>
        <v>1</v>
      </c>
      <c r="AG40" s="19"/>
      <c r="AH40" s="19"/>
      <c r="AI40" s="19"/>
      <c r="AJ40" s="19"/>
      <c r="AK40" s="19"/>
      <c r="AL40" s="19"/>
      <c r="AM40" s="19"/>
    </row>
    <row r="41">
      <c r="B41" s="19"/>
      <c r="C41" s="19"/>
      <c r="D41" s="19"/>
      <c r="E41" s="19"/>
      <c r="F41" s="19"/>
      <c r="G41" s="19"/>
      <c r="H41" s="19" t="str">
        <f t="shared" si="3"/>
        <v>Influenza and pneumonia (J09-J18)</v>
      </c>
      <c r="I41" s="19">
        <f t="shared" ref="I41:R41" si="16">IFERROR(RANK(I10, $I10:$R10, 0), )</f>
        <v>10</v>
      </c>
      <c r="J41" s="19">
        <f t="shared" si="16"/>
        <v>9</v>
      </c>
      <c r="K41" s="19">
        <f t="shared" si="16"/>
        <v>8</v>
      </c>
      <c r="L41" s="19">
        <f t="shared" si="16"/>
        <v>7</v>
      </c>
      <c r="M41" s="19">
        <f t="shared" si="16"/>
        <v>6</v>
      </c>
      <c r="N41" s="19">
        <f t="shared" si="16"/>
        <v>5</v>
      </c>
      <c r="O41" s="19">
        <f t="shared" si="16"/>
        <v>4</v>
      </c>
      <c r="P41" s="19">
        <f t="shared" si="16"/>
        <v>3</v>
      </c>
      <c r="Q41" s="19">
        <f t="shared" si="16"/>
        <v>2</v>
      </c>
      <c r="R41" s="19">
        <f t="shared" si="16"/>
        <v>1</v>
      </c>
      <c r="S41" s="19"/>
      <c r="T41" s="19"/>
      <c r="U41" s="19"/>
      <c r="V41" s="19" t="s">
        <v>22</v>
      </c>
      <c r="W41" s="19" t="str">
        <f t="shared" ref="W41:AF41" si="17">IFERROR(RANK(W10, $W10:$AF10, 0), )</f>
        <v/>
      </c>
      <c r="X41" s="19">
        <f t="shared" si="17"/>
        <v>9</v>
      </c>
      <c r="Y41" s="19">
        <f t="shared" si="17"/>
        <v>8</v>
      </c>
      <c r="Z41" s="19">
        <f t="shared" si="17"/>
        <v>7</v>
      </c>
      <c r="AA41" s="19">
        <f t="shared" si="17"/>
        <v>6</v>
      </c>
      <c r="AB41" s="19">
        <f t="shared" si="17"/>
        <v>5</v>
      </c>
      <c r="AC41" s="19">
        <f t="shared" si="17"/>
        <v>4</v>
      </c>
      <c r="AD41" s="19">
        <f t="shared" si="17"/>
        <v>3</v>
      </c>
      <c r="AE41" s="19">
        <f t="shared" si="17"/>
        <v>2</v>
      </c>
      <c r="AF41" s="19">
        <f t="shared" si="17"/>
        <v>1</v>
      </c>
      <c r="AG41" s="19"/>
      <c r="AH41" s="19"/>
      <c r="AI41" s="19"/>
      <c r="AJ41" s="19"/>
      <c r="AK41" s="19"/>
      <c r="AL41" s="19"/>
      <c r="AM41" s="19"/>
    </row>
    <row r="42">
      <c r="A42" s="19"/>
      <c r="B42" s="19"/>
      <c r="C42" s="19"/>
      <c r="D42" s="19"/>
      <c r="E42" s="19"/>
      <c r="F42" s="19"/>
      <c r="G42" s="19"/>
      <c r="H42" s="19" t="str">
        <f t="shared" si="3"/>
        <v>Nephritis, nephrotic syndrome and nephrosis (N00-N07,N17-N19,N25-N27)</v>
      </c>
      <c r="I42" s="19" t="str">
        <f t="shared" ref="I42:R42" si="18">IFERROR(RANK(I11, $I11:$R11, 0), )</f>
        <v/>
      </c>
      <c r="J42" s="19" t="str">
        <f t="shared" si="18"/>
        <v/>
      </c>
      <c r="K42" s="19" t="str">
        <f t="shared" si="18"/>
        <v/>
      </c>
      <c r="L42" s="19">
        <f t="shared" si="18"/>
        <v>7</v>
      </c>
      <c r="M42" s="19">
        <f t="shared" si="18"/>
        <v>6</v>
      </c>
      <c r="N42" s="19">
        <f t="shared" si="18"/>
        <v>5</v>
      </c>
      <c r="O42" s="19">
        <f t="shared" si="18"/>
        <v>4</v>
      </c>
      <c r="P42" s="19">
        <f t="shared" si="18"/>
        <v>3</v>
      </c>
      <c r="Q42" s="19">
        <f t="shared" si="18"/>
        <v>2</v>
      </c>
      <c r="R42" s="19">
        <f t="shared" si="18"/>
        <v>1</v>
      </c>
      <c r="S42" s="19"/>
      <c r="T42" s="19"/>
      <c r="U42" s="19"/>
      <c r="V42" s="19" t="s">
        <v>24</v>
      </c>
      <c r="W42" s="19" t="str">
        <f t="shared" ref="W42:AF42" si="19">IFERROR(RANK(W11, $W11:$AF11, 0), )</f>
        <v/>
      </c>
      <c r="X42" s="19" t="str">
        <f t="shared" si="19"/>
        <v/>
      </c>
      <c r="Y42" s="19" t="str">
        <f t="shared" si="19"/>
        <v/>
      </c>
      <c r="Z42" s="19">
        <f t="shared" si="19"/>
        <v>7</v>
      </c>
      <c r="AA42" s="19">
        <f t="shared" si="19"/>
        <v>6</v>
      </c>
      <c r="AB42" s="19">
        <f t="shared" si="19"/>
        <v>5</v>
      </c>
      <c r="AC42" s="19">
        <f t="shared" si="19"/>
        <v>4</v>
      </c>
      <c r="AD42" s="19">
        <f t="shared" si="19"/>
        <v>3</v>
      </c>
      <c r="AE42" s="19">
        <f t="shared" si="19"/>
        <v>2</v>
      </c>
      <c r="AF42" s="19">
        <f t="shared" si="19"/>
        <v>1</v>
      </c>
      <c r="AG42" s="19"/>
      <c r="AH42" s="19"/>
      <c r="AI42" s="19"/>
      <c r="AJ42" s="19"/>
      <c r="AK42" s="19"/>
      <c r="AL42" s="19"/>
      <c r="AM42" s="19"/>
    </row>
    <row r="43">
      <c r="A43" s="19"/>
      <c r="B43" s="19"/>
      <c r="C43" s="19"/>
      <c r="D43" s="19"/>
      <c r="E43" s="19"/>
      <c r="F43" s="19"/>
      <c r="G43" s="19"/>
      <c r="H43" s="19" t="str">
        <f t="shared" si="3"/>
        <v>Intentional self-harm (suicide) (*U03,X60-X84,Y87.0)</v>
      </c>
      <c r="I43" s="19" t="str">
        <f t="shared" ref="I43:R43" si="20">IFERROR(RANK(I12, $I12:$R12, 0), )</f>
        <v/>
      </c>
      <c r="J43" s="19">
        <f t="shared" si="20"/>
        <v>7</v>
      </c>
      <c r="K43" s="19">
        <f t="shared" si="20"/>
        <v>5</v>
      </c>
      <c r="L43" s="19">
        <f t="shared" si="20"/>
        <v>4</v>
      </c>
      <c r="M43" s="19">
        <f t="shared" si="20"/>
        <v>3</v>
      </c>
      <c r="N43" s="19">
        <f t="shared" si="20"/>
        <v>1</v>
      </c>
      <c r="O43" s="19">
        <f t="shared" si="20"/>
        <v>2</v>
      </c>
      <c r="P43" s="19">
        <f t="shared" si="20"/>
        <v>6</v>
      </c>
      <c r="Q43" s="19" t="str">
        <f t="shared" si="20"/>
        <v/>
      </c>
      <c r="R43" s="19" t="str">
        <f t="shared" si="20"/>
        <v/>
      </c>
      <c r="S43" s="19"/>
      <c r="T43" s="19"/>
      <c r="U43" s="19"/>
      <c r="V43" s="19" t="s">
        <v>28</v>
      </c>
      <c r="W43" s="19" t="str">
        <f t="shared" ref="W43:AF43" si="21">IFERROR(RANK(W12, $W12:$AF12, 0), )</f>
        <v/>
      </c>
      <c r="X43" s="19" t="str">
        <f t="shared" si="21"/>
        <v/>
      </c>
      <c r="Y43" s="19" t="str">
        <f t="shared" si="21"/>
        <v/>
      </c>
      <c r="Z43" s="19" t="str">
        <f t="shared" si="21"/>
        <v/>
      </c>
      <c r="AA43" s="19">
        <f t="shared" si="21"/>
        <v>6</v>
      </c>
      <c r="AB43" s="19">
        <f t="shared" si="21"/>
        <v>5</v>
      </c>
      <c r="AC43" s="19">
        <f t="shared" si="21"/>
        <v>4</v>
      </c>
      <c r="AD43" s="19">
        <f t="shared" si="21"/>
        <v>3</v>
      </c>
      <c r="AE43" s="19">
        <f t="shared" si="21"/>
        <v>2</v>
      </c>
      <c r="AF43" s="19">
        <f t="shared" si="21"/>
        <v>1</v>
      </c>
      <c r="AG43" s="19"/>
      <c r="AH43" s="19"/>
      <c r="AI43" s="19"/>
      <c r="AJ43" s="19"/>
      <c r="AK43" s="19"/>
      <c r="AL43" s="19"/>
      <c r="AM43" s="19"/>
    </row>
    <row r="44">
      <c r="D44" s="19"/>
      <c r="E44" s="19"/>
      <c r="F44" s="19"/>
      <c r="G44" s="19"/>
      <c r="H44" s="19" t="str">
        <f t="shared" si="3"/>
        <v>Septicemia (A40-A41)</v>
      </c>
      <c r="I44" s="19">
        <f t="shared" ref="I44:R44" si="22">IFERROR(RANK(I13, $I13:$R13, 0), )</f>
        <v>10</v>
      </c>
      <c r="J44" s="19">
        <f t="shared" si="22"/>
        <v>9</v>
      </c>
      <c r="K44" s="19">
        <f t="shared" si="22"/>
        <v>8</v>
      </c>
      <c r="L44" s="19">
        <f t="shared" si="22"/>
        <v>7</v>
      </c>
      <c r="M44" s="19">
        <f t="shared" si="22"/>
        <v>6</v>
      </c>
      <c r="N44" s="19">
        <f t="shared" si="22"/>
        <v>5</v>
      </c>
      <c r="O44" s="19">
        <f t="shared" si="22"/>
        <v>4</v>
      </c>
      <c r="P44" s="19">
        <f t="shared" si="22"/>
        <v>3</v>
      </c>
      <c r="Q44" s="19">
        <f t="shared" si="22"/>
        <v>2</v>
      </c>
      <c r="R44" s="19">
        <f t="shared" si="22"/>
        <v>1</v>
      </c>
      <c r="S44" s="19"/>
      <c r="T44" s="19"/>
      <c r="U44" s="19"/>
      <c r="V44" s="19" t="s">
        <v>26</v>
      </c>
      <c r="W44" s="19">
        <f t="shared" ref="W44:AF44" si="23">IFERROR(RANK(W13, $W13:$AF13, 0), )</f>
        <v>8</v>
      </c>
      <c r="X44" s="19">
        <f t="shared" si="23"/>
        <v>10</v>
      </c>
      <c r="Y44" s="19">
        <f t="shared" si="23"/>
        <v>8</v>
      </c>
      <c r="Z44" s="19">
        <f t="shared" si="23"/>
        <v>7</v>
      </c>
      <c r="AA44" s="19">
        <f t="shared" si="23"/>
        <v>6</v>
      </c>
      <c r="AB44" s="19">
        <f t="shared" si="23"/>
        <v>5</v>
      </c>
      <c r="AC44" s="19">
        <f t="shared" si="23"/>
        <v>4</v>
      </c>
      <c r="AD44" s="19">
        <f t="shared" si="23"/>
        <v>3</v>
      </c>
      <c r="AE44" s="19">
        <f t="shared" si="23"/>
        <v>2</v>
      </c>
      <c r="AF44" s="19">
        <f t="shared" si="23"/>
        <v>1</v>
      </c>
      <c r="AG44" s="19"/>
      <c r="AH44" s="19"/>
      <c r="AI44" s="19"/>
      <c r="AJ44" s="19"/>
      <c r="AK44" s="19"/>
      <c r="AL44" s="19"/>
      <c r="AM44" s="19"/>
    </row>
    <row r="45">
      <c r="D45" s="23" t="s">
        <v>63</v>
      </c>
      <c r="E45" s="23" t="s">
        <v>64</v>
      </c>
      <c r="F45" s="19"/>
      <c r="G45" s="19"/>
      <c r="H45" s="19" t="str">
        <f t="shared" si="3"/>
        <v>Chronic liver disease and cirrhosis (K70,K73-K74)</v>
      </c>
      <c r="I45" s="19" t="str">
        <f t="shared" ref="I45:R45" si="24">IFERROR(RANK(I14, $I14:$R14, 0), )</f>
        <v/>
      </c>
      <c r="J45" s="19" t="str">
        <f t="shared" si="24"/>
        <v/>
      </c>
      <c r="K45" s="19" t="str">
        <f t="shared" si="24"/>
        <v/>
      </c>
      <c r="L45" s="19">
        <f t="shared" si="24"/>
        <v>6</v>
      </c>
      <c r="M45" s="19">
        <f t="shared" si="24"/>
        <v>5</v>
      </c>
      <c r="N45" s="19">
        <f t="shared" si="24"/>
        <v>2</v>
      </c>
      <c r="O45" s="19">
        <f t="shared" si="24"/>
        <v>1</v>
      </c>
      <c r="P45" s="19">
        <f t="shared" si="24"/>
        <v>3</v>
      </c>
      <c r="Q45" s="19">
        <f t="shared" si="24"/>
        <v>4</v>
      </c>
      <c r="R45" s="19" t="str">
        <f t="shared" si="24"/>
        <v/>
      </c>
      <c r="S45" s="19"/>
      <c r="T45" s="19"/>
      <c r="U45" s="19"/>
      <c r="V45" s="19" t="s">
        <v>29</v>
      </c>
      <c r="W45" s="19" t="str">
        <f t="shared" ref="W45:AF45" si="25">IFERROR(RANK(W14, $W14:$AF14, 0), )</f>
        <v/>
      </c>
      <c r="X45" s="19" t="str">
        <f t="shared" si="25"/>
        <v/>
      </c>
      <c r="Y45" s="19" t="str">
        <f t="shared" si="25"/>
        <v/>
      </c>
      <c r="Z45" s="19" t="str">
        <f t="shared" si="25"/>
        <v/>
      </c>
      <c r="AA45" s="19" t="str">
        <f t="shared" si="25"/>
        <v/>
      </c>
      <c r="AB45" s="19" t="str">
        <f t="shared" si="25"/>
        <v/>
      </c>
      <c r="AC45" s="32" t="str">
        <f t="shared" si="25"/>
        <v/>
      </c>
      <c r="AD45" s="33">
        <f t="shared" si="25"/>
        <v>3</v>
      </c>
      <c r="AE45" s="33">
        <f t="shared" si="25"/>
        <v>2</v>
      </c>
      <c r="AF45" s="34">
        <f t="shared" si="25"/>
        <v>1</v>
      </c>
      <c r="AG45" s="19"/>
      <c r="AH45" s="19"/>
      <c r="AI45" s="19"/>
      <c r="AJ45" s="19"/>
      <c r="AK45" s="19"/>
      <c r="AL45" s="19"/>
      <c r="AM45" s="19"/>
    </row>
    <row r="46">
      <c r="D46" s="19">
        <v>22.28</v>
      </c>
      <c r="E46" s="24" t="s">
        <v>65</v>
      </c>
      <c r="F46" s="19"/>
      <c r="G46" s="19"/>
      <c r="H46" s="19" t="str">
        <f t="shared" si="3"/>
        <v>Essential hypertension and hypertensive renal disease (I10,I12,I15)</v>
      </c>
      <c r="I46" s="19" t="str">
        <f t="shared" ref="I46:R46" si="26">IFERROR(RANK(I15, $I15:$R15, 0), )</f>
        <v/>
      </c>
      <c r="J46" s="19" t="str">
        <f t="shared" si="26"/>
        <v/>
      </c>
      <c r="K46" s="19" t="str">
        <f t="shared" si="26"/>
        <v/>
      </c>
      <c r="L46" s="19" t="str">
        <f t="shared" si="26"/>
        <v/>
      </c>
      <c r="M46" s="19">
        <f t="shared" si="26"/>
        <v>6</v>
      </c>
      <c r="N46" s="19">
        <f t="shared" si="26"/>
        <v>5</v>
      </c>
      <c r="O46" s="19">
        <f t="shared" si="26"/>
        <v>4</v>
      </c>
      <c r="P46" s="19">
        <f t="shared" si="26"/>
        <v>3</v>
      </c>
      <c r="Q46" s="19">
        <f t="shared" si="26"/>
        <v>2</v>
      </c>
      <c r="R46" s="19">
        <f t="shared" si="26"/>
        <v>1</v>
      </c>
      <c r="S46" s="19"/>
      <c r="T46" s="19"/>
      <c r="U46" s="19"/>
      <c r="V46" s="19" t="s">
        <v>30</v>
      </c>
      <c r="W46" s="19" t="str">
        <f t="shared" ref="W46:AF46" si="27">IFERROR(RANK(W15, $W15:$AF15, 0), )</f>
        <v/>
      </c>
      <c r="X46" s="19" t="str">
        <f t="shared" si="27"/>
        <v/>
      </c>
      <c r="Y46" s="19" t="str">
        <f t="shared" si="27"/>
        <v/>
      </c>
      <c r="Z46" s="19" t="str">
        <f t="shared" si="27"/>
        <v/>
      </c>
      <c r="AA46" s="19" t="str">
        <f t="shared" si="27"/>
        <v/>
      </c>
      <c r="AB46" s="19" t="str">
        <f t="shared" si="27"/>
        <v/>
      </c>
      <c r="AC46" s="35" t="str">
        <f t="shared" si="27"/>
        <v/>
      </c>
      <c r="AD46" s="19" t="str">
        <f t="shared" si="27"/>
        <v/>
      </c>
      <c r="AE46" s="19">
        <f t="shared" si="27"/>
        <v>2</v>
      </c>
      <c r="AF46" s="36">
        <f t="shared" si="27"/>
        <v>1</v>
      </c>
      <c r="AG46" s="19"/>
      <c r="AH46" s="19"/>
      <c r="AI46" s="19"/>
      <c r="AJ46" s="19"/>
      <c r="AK46" s="19"/>
      <c r="AL46" s="19"/>
      <c r="AM46" s="19"/>
    </row>
    <row r="47" ht="27.75" customHeight="1">
      <c r="D47" s="19">
        <v>11.31</v>
      </c>
      <c r="E47" s="24" t="s">
        <v>65</v>
      </c>
      <c r="F47" s="19"/>
      <c r="G47" s="19"/>
      <c r="H47" s="19" t="str">
        <f t="shared" si="3"/>
        <v>Parkinson's disease (G20-G21)</v>
      </c>
      <c r="I47" s="19" t="str">
        <f t="shared" ref="I47:R47" si="28">IFERROR(RANK(I16, $I16:$R16, 0), )</f>
        <v/>
      </c>
      <c r="J47" s="19" t="str">
        <f t="shared" si="28"/>
        <v/>
      </c>
      <c r="K47" s="19" t="str">
        <f t="shared" si="28"/>
        <v/>
      </c>
      <c r="L47" s="19" t="str">
        <f t="shared" si="28"/>
        <v/>
      </c>
      <c r="M47" s="19" t="str">
        <f t="shared" si="28"/>
        <v/>
      </c>
      <c r="N47" s="19" t="str">
        <f t="shared" si="28"/>
        <v/>
      </c>
      <c r="O47" s="19" t="str">
        <f t="shared" si="28"/>
        <v/>
      </c>
      <c r="P47" s="19">
        <f t="shared" si="28"/>
        <v>3</v>
      </c>
      <c r="Q47" s="19">
        <f t="shared" si="28"/>
        <v>2</v>
      </c>
      <c r="R47" s="19">
        <f t="shared" si="28"/>
        <v>1</v>
      </c>
      <c r="S47" s="19"/>
      <c r="T47" s="19"/>
      <c r="U47" s="19"/>
      <c r="V47" s="19" t="s">
        <v>35</v>
      </c>
      <c r="W47" s="19">
        <f t="shared" ref="W47:AF47" si="29">IFERROR(RANK(W16, $W16:$AF16, 0), )</f>
        <v>5</v>
      </c>
      <c r="X47" s="19">
        <f t="shared" si="29"/>
        <v>6</v>
      </c>
      <c r="Y47" s="19" t="str">
        <f t="shared" si="29"/>
        <v/>
      </c>
      <c r="Z47" s="19" t="str">
        <f t="shared" si="29"/>
        <v/>
      </c>
      <c r="AA47" s="19" t="str">
        <f t="shared" si="29"/>
        <v/>
      </c>
      <c r="AB47" s="19" t="str">
        <f t="shared" si="29"/>
        <v/>
      </c>
      <c r="AC47" s="37">
        <f t="shared" si="29"/>
        <v>4</v>
      </c>
      <c r="AD47" s="38">
        <f t="shared" si="29"/>
        <v>3</v>
      </c>
      <c r="AE47" s="38">
        <f t="shared" si="29"/>
        <v>2</v>
      </c>
      <c r="AF47" s="39">
        <f t="shared" si="29"/>
        <v>1</v>
      </c>
      <c r="AG47" s="19"/>
      <c r="AH47" s="19"/>
      <c r="AI47" s="19"/>
      <c r="AJ47" s="19"/>
      <c r="AK47" s="19"/>
      <c r="AL47" s="19"/>
      <c r="AM47" s="19"/>
    </row>
    <row r="48">
      <c r="D48" s="19">
        <v>35.57</v>
      </c>
      <c r="E48" s="25" t="s">
        <v>66</v>
      </c>
      <c r="F48" s="19"/>
      <c r="G48" s="19"/>
      <c r="H48" s="19" t="str">
        <f t="shared" si="3"/>
        <v>Pneumonitis due to solids and liquids (J69)</v>
      </c>
      <c r="I48" s="19" t="str">
        <f t="shared" ref="I48:R48" si="30">IFERROR(RANK(I17, $I17:$R17, 0), )</f>
        <v/>
      </c>
      <c r="J48" s="19" t="str">
        <f t="shared" si="30"/>
        <v/>
      </c>
      <c r="K48" s="19" t="str">
        <f t="shared" si="30"/>
        <v/>
      </c>
      <c r="L48" s="19" t="str">
        <f t="shared" si="30"/>
        <v/>
      </c>
      <c r="M48" s="19" t="str">
        <f t="shared" si="30"/>
        <v/>
      </c>
      <c r="N48" s="19" t="str">
        <f t="shared" si="30"/>
        <v/>
      </c>
      <c r="O48" s="19" t="str">
        <f t="shared" si="30"/>
        <v/>
      </c>
      <c r="P48" s="19" t="str">
        <f t="shared" si="30"/>
        <v/>
      </c>
      <c r="Q48" s="19">
        <f t="shared" si="30"/>
        <v>2</v>
      </c>
      <c r="R48" s="19">
        <f t="shared" si="30"/>
        <v>1</v>
      </c>
      <c r="S48" s="19"/>
      <c r="T48" s="19"/>
      <c r="U48" s="19"/>
      <c r="V48" s="19" t="s">
        <v>27</v>
      </c>
      <c r="W48" s="19" t="str">
        <f t="shared" ref="W48:AF48" si="31">IFERROR(RANK(W17, $W17:$AF17, 0), )</f>
        <v/>
      </c>
      <c r="X48" s="19" t="str">
        <f t="shared" si="31"/>
        <v/>
      </c>
      <c r="Y48" s="19" t="str">
        <f t="shared" si="31"/>
        <v/>
      </c>
      <c r="Z48" s="19">
        <f t="shared" si="31"/>
        <v>6</v>
      </c>
      <c r="AA48" s="19">
        <f t="shared" si="31"/>
        <v>5</v>
      </c>
      <c r="AB48" s="19">
        <f t="shared" si="31"/>
        <v>4</v>
      </c>
      <c r="AC48" s="19">
        <f t="shared" si="31"/>
        <v>1</v>
      </c>
      <c r="AD48" s="19">
        <f t="shared" si="31"/>
        <v>3</v>
      </c>
      <c r="AE48" s="19">
        <f t="shared" si="31"/>
        <v>2</v>
      </c>
      <c r="AF48" s="19" t="str">
        <f t="shared" si="31"/>
        <v/>
      </c>
      <c r="AG48" s="19"/>
      <c r="AH48" s="19"/>
      <c r="AI48" s="19"/>
      <c r="AJ48" s="19"/>
      <c r="AK48" s="19"/>
      <c r="AL48" s="19"/>
      <c r="AM48" s="19"/>
    </row>
    <row r="49">
      <c r="D49" s="19">
        <v>66.01</v>
      </c>
      <c r="E49" s="25" t="s">
        <v>66</v>
      </c>
      <c r="F49" s="19"/>
      <c r="G49" s="19"/>
      <c r="H49" s="19" t="str">
        <f t="shared" si="3"/>
        <v>In situ neoplasms, benign neoplasms and neoplasms of uncertain or unknown behavior (D00-D48)</v>
      </c>
      <c r="I49" s="19">
        <f t="shared" ref="I49:R49" si="32">IFERROR(RANK(I18, $I18:$R18, 0), )</f>
        <v>6</v>
      </c>
      <c r="J49" s="19">
        <f t="shared" si="32"/>
        <v>5</v>
      </c>
      <c r="K49" s="19" t="str">
        <f t="shared" si="32"/>
        <v/>
      </c>
      <c r="L49" s="19" t="str">
        <f t="shared" si="32"/>
        <v/>
      </c>
      <c r="M49" s="19" t="str">
        <f t="shared" si="32"/>
        <v/>
      </c>
      <c r="N49" s="19" t="str">
        <f t="shared" si="32"/>
        <v/>
      </c>
      <c r="O49" s="19">
        <f t="shared" si="32"/>
        <v>4</v>
      </c>
      <c r="P49" s="19">
        <f t="shared" si="32"/>
        <v>3</v>
      </c>
      <c r="Q49" s="19">
        <f t="shared" si="32"/>
        <v>2</v>
      </c>
      <c r="R49" s="19">
        <f t="shared" si="32"/>
        <v>1</v>
      </c>
      <c r="S49" s="19"/>
      <c r="T49" s="19"/>
      <c r="U49" s="19"/>
      <c r="V49" s="19" t="s">
        <v>25</v>
      </c>
      <c r="W49" s="19" t="str">
        <f t="shared" ref="W49:AF49" si="33">IFERROR(RANK(W18, $W18:$AF18, 0), )</f>
        <v/>
      </c>
      <c r="X49" s="19">
        <f t="shared" si="33"/>
        <v>7</v>
      </c>
      <c r="Y49" s="19">
        <f t="shared" si="33"/>
        <v>6</v>
      </c>
      <c r="Z49" s="19">
        <f t="shared" si="33"/>
        <v>5</v>
      </c>
      <c r="AA49" s="19">
        <f t="shared" si="33"/>
        <v>3</v>
      </c>
      <c r="AB49" s="19">
        <f t="shared" si="33"/>
        <v>1</v>
      </c>
      <c r="AC49" s="19">
        <f t="shared" si="33"/>
        <v>2</v>
      </c>
      <c r="AD49" s="19">
        <f t="shared" si="33"/>
        <v>4</v>
      </c>
      <c r="AE49" s="19" t="str">
        <f t="shared" si="33"/>
        <v/>
      </c>
      <c r="AF49" s="19" t="str">
        <f t="shared" si="33"/>
        <v/>
      </c>
      <c r="AG49" s="19"/>
      <c r="AH49" s="19"/>
      <c r="AI49" s="19"/>
      <c r="AJ49" s="19"/>
      <c r="AK49" s="19"/>
      <c r="AL49" s="19"/>
      <c r="AM49" s="19"/>
    </row>
    <row r="50">
      <c r="D50" s="19">
        <v>130.52</v>
      </c>
      <c r="E50" s="25" t="s">
        <v>66</v>
      </c>
      <c r="F50" s="19"/>
      <c r="G50" s="19"/>
      <c r="H50" s="19" t="str">
        <f t="shared" si="3"/>
        <v>Assault (homicide) (*U01-*U02,X85-Y09,Y87.1)</v>
      </c>
      <c r="I50" s="19">
        <f t="shared" ref="I50:R50" si="34">IFERROR(RANK(I19, $I19:$R19, 0), )</f>
        <v>5</v>
      </c>
      <c r="J50" s="19">
        <f t="shared" si="34"/>
        <v>6</v>
      </c>
      <c r="K50" s="19">
        <f t="shared" si="34"/>
        <v>1</v>
      </c>
      <c r="L50" s="19">
        <f t="shared" si="34"/>
        <v>2</v>
      </c>
      <c r="M50" s="19">
        <f t="shared" si="34"/>
        <v>3</v>
      </c>
      <c r="N50" s="19">
        <f t="shared" si="34"/>
        <v>4</v>
      </c>
      <c r="O50" s="19" t="str">
        <f t="shared" si="34"/>
        <v/>
      </c>
      <c r="P50" s="19" t="str">
        <f t="shared" si="34"/>
        <v/>
      </c>
      <c r="Q50" s="19" t="str">
        <f t="shared" si="34"/>
        <v/>
      </c>
      <c r="R50" s="19" t="str">
        <f t="shared" si="34"/>
        <v/>
      </c>
      <c r="S50" s="19"/>
      <c r="T50" s="19"/>
      <c r="U50" s="19"/>
      <c r="V50" s="19" t="s">
        <v>54</v>
      </c>
      <c r="W50" s="19" t="str">
        <f t="shared" ref="W50:AF50" si="35">IFERROR(RANK(W19, $W19:$AF19, 0), )</f>
        <v/>
      </c>
      <c r="X50" s="19" t="str">
        <f t="shared" si="35"/>
        <v/>
      </c>
      <c r="Y50" s="19" t="str">
        <f t="shared" si="35"/>
        <v/>
      </c>
      <c r="Z50" s="19" t="str">
        <f t="shared" si="35"/>
        <v/>
      </c>
      <c r="AA50" s="19" t="str">
        <f t="shared" si="35"/>
        <v/>
      </c>
      <c r="AB50" s="19" t="str">
        <f t="shared" si="35"/>
        <v/>
      </c>
      <c r="AC50" s="19" t="str">
        <f t="shared" si="35"/>
        <v/>
      </c>
      <c r="AD50" s="19" t="str">
        <f t="shared" si="35"/>
        <v/>
      </c>
      <c r="AE50" s="19" t="str">
        <f t="shared" si="35"/>
        <v/>
      </c>
      <c r="AF50" s="40">
        <f t="shared" si="35"/>
        <v>1</v>
      </c>
      <c r="AG50" s="19"/>
      <c r="AH50" s="19"/>
      <c r="AI50" s="19"/>
      <c r="AJ50" s="19"/>
      <c r="AK50" s="19"/>
      <c r="AL50" s="19"/>
      <c r="AM50" s="19"/>
    </row>
    <row r="51">
      <c r="D51" s="19">
        <v>314.16</v>
      </c>
      <c r="E51" s="25" t="s">
        <v>66</v>
      </c>
      <c r="F51" s="19"/>
      <c r="G51" s="19"/>
      <c r="H51" s="19" t="str">
        <f t="shared" si="3"/>
        <v>Human immunodeficiency virus (HIV) disease (B20-B24)</v>
      </c>
      <c r="I51" s="19" t="str">
        <f t="shared" ref="I51:R51" si="36">IFERROR(RANK(I20, $I20:$R20, 0), )</f>
        <v/>
      </c>
      <c r="J51" s="19" t="str">
        <f t="shared" si="36"/>
        <v/>
      </c>
      <c r="K51" s="19">
        <f t="shared" si="36"/>
        <v>5</v>
      </c>
      <c r="L51" s="19">
        <f t="shared" si="36"/>
        <v>4</v>
      </c>
      <c r="M51" s="19">
        <f t="shared" si="36"/>
        <v>3</v>
      </c>
      <c r="N51" s="19">
        <f t="shared" si="36"/>
        <v>1</v>
      </c>
      <c r="O51" s="19">
        <f t="shared" si="36"/>
        <v>2</v>
      </c>
      <c r="P51" s="19" t="str">
        <f t="shared" si="36"/>
        <v/>
      </c>
      <c r="Q51" s="19" t="str">
        <f t="shared" si="36"/>
        <v/>
      </c>
      <c r="R51" s="19" t="str">
        <f t="shared" si="36"/>
        <v/>
      </c>
      <c r="S51" s="19"/>
      <c r="T51" s="19"/>
      <c r="U51" s="19"/>
      <c r="V51" s="19" t="s">
        <v>34</v>
      </c>
      <c r="W51" s="19">
        <f t="shared" ref="W51:AF51" si="37">IFERROR(RANK(W20, $W20:$AF20, 0), )</f>
        <v>5</v>
      </c>
      <c r="X51" s="19">
        <f t="shared" si="37"/>
        <v>6</v>
      </c>
      <c r="Y51" s="19">
        <f t="shared" si="37"/>
        <v>2</v>
      </c>
      <c r="Z51" s="19">
        <f t="shared" si="37"/>
        <v>1</v>
      </c>
      <c r="AA51" s="19">
        <f t="shared" si="37"/>
        <v>3</v>
      </c>
      <c r="AB51" s="19">
        <f t="shared" si="37"/>
        <v>4</v>
      </c>
      <c r="AC51" s="19" t="str">
        <f t="shared" si="37"/>
        <v/>
      </c>
      <c r="AD51" s="19" t="str">
        <f t="shared" si="37"/>
        <v/>
      </c>
      <c r="AE51" s="19" t="str">
        <f t="shared" si="37"/>
        <v/>
      </c>
      <c r="AF51" s="19" t="str">
        <f t="shared" si="37"/>
        <v/>
      </c>
      <c r="AG51" s="19"/>
      <c r="AH51" s="19"/>
      <c r="AI51" s="19"/>
      <c r="AJ51" s="19"/>
      <c r="AK51" s="19"/>
      <c r="AL51" s="19"/>
      <c r="AM51" s="19"/>
    </row>
    <row r="52">
      <c r="D52" s="19">
        <v>647.35</v>
      </c>
      <c r="E52" s="25" t="s">
        <v>66</v>
      </c>
      <c r="F52" s="19"/>
      <c r="G52" s="19"/>
      <c r="H52" s="19" t="str">
        <f t="shared" si="3"/>
        <v>Viral hepatitis (B15-B19)</v>
      </c>
      <c r="I52" s="19" t="str">
        <f t="shared" ref="I52:R52" si="38">IFERROR(RANK(I21, $I21:$R21, 0), )</f>
        <v/>
      </c>
      <c r="J52" s="19" t="str">
        <f t="shared" si="38"/>
        <v/>
      </c>
      <c r="K52" s="19" t="str">
        <f t="shared" si="38"/>
        <v/>
      </c>
      <c r="L52" s="19" t="str">
        <f t="shared" si="38"/>
        <v/>
      </c>
      <c r="M52" s="19" t="str">
        <f t="shared" si="38"/>
        <v/>
      </c>
      <c r="N52" s="19">
        <f t="shared" si="38"/>
        <v>2</v>
      </c>
      <c r="O52" s="19">
        <f t="shared" si="38"/>
        <v>1</v>
      </c>
      <c r="P52" s="19" t="str">
        <f t="shared" si="38"/>
        <v/>
      </c>
      <c r="Q52" s="19" t="str">
        <f t="shared" si="38"/>
        <v/>
      </c>
      <c r="R52" s="19" t="str">
        <f t="shared" si="38"/>
        <v/>
      </c>
      <c r="S52" s="19"/>
      <c r="T52" s="19"/>
      <c r="U52" s="19"/>
      <c r="V52" s="19" t="s">
        <v>44</v>
      </c>
      <c r="W52" s="19" t="str">
        <f t="shared" ref="W52:AF52" si="39">IFERROR(RANK(W21, $W21:$AF21, 0), )</f>
        <v/>
      </c>
      <c r="X52" s="19" t="str">
        <f t="shared" si="39"/>
        <v/>
      </c>
      <c r="Y52" s="19">
        <f t="shared" si="39"/>
        <v>5</v>
      </c>
      <c r="Z52" s="19">
        <f t="shared" si="39"/>
        <v>4</v>
      </c>
      <c r="AA52" s="19">
        <f t="shared" si="39"/>
        <v>3</v>
      </c>
      <c r="AB52" s="19">
        <f t="shared" si="39"/>
        <v>1</v>
      </c>
      <c r="AC52" s="19">
        <f t="shared" si="39"/>
        <v>2</v>
      </c>
      <c r="AD52" s="19" t="str">
        <f t="shared" si="39"/>
        <v/>
      </c>
      <c r="AE52" s="19" t="str">
        <f t="shared" si="39"/>
        <v/>
      </c>
      <c r="AF52" s="19" t="str">
        <f t="shared" si="39"/>
        <v/>
      </c>
      <c r="AG52" s="19"/>
      <c r="AH52" s="19"/>
      <c r="AI52" s="19"/>
      <c r="AJ52" s="19"/>
      <c r="AK52" s="19"/>
      <c r="AL52" s="19"/>
      <c r="AM52" s="19"/>
    </row>
    <row r="53">
      <c r="A53" s="19"/>
      <c r="B53" s="19"/>
      <c r="C53" s="19"/>
      <c r="D53" s="19"/>
      <c r="E53" s="19"/>
      <c r="F53" s="19"/>
      <c r="G53" s="19"/>
      <c r="H53" s="19" t="str">
        <f t="shared" si="3"/>
        <v>Atherosclerosis (I70)</v>
      </c>
      <c r="I53" s="19" t="str">
        <f t="shared" ref="I53:R53" si="40">IFERROR(RANK(I22, $I22:$R22, 0), )</f>
        <v/>
      </c>
      <c r="J53" s="19" t="str">
        <f t="shared" si="40"/>
        <v/>
      </c>
      <c r="K53" s="19" t="str">
        <f t="shared" si="40"/>
        <v/>
      </c>
      <c r="L53" s="19" t="str">
        <f t="shared" si="40"/>
        <v/>
      </c>
      <c r="M53" s="19" t="str">
        <f t="shared" si="40"/>
        <v/>
      </c>
      <c r="N53" s="19" t="str">
        <f t="shared" si="40"/>
        <v/>
      </c>
      <c r="O53" s="19" t="str">
        <f t="shared" si="40"/>
        <v/>
      </c>
      <c r="P53" s="19" t="str">
        <f t="shared" si="40"/>
        <v/>
      </c>
      <c r="Q53" s="19" t="str">
        <f t="shared" si="40"/>
        <v/>
      </c>
      <c r="R53" s="19">
        <f t="shared" si="40"/>
        <v>1</v>
      </c>
      <c r="S53" s="19"/>
      <c r="T53" s="19"/>
      <c r="U53" s="19"/>
      <c r="V53" s="19" t="s">
        <v>49</v>
      </c>
      <c r="W53" s="19" t="str">
        <f t="shared" ref="W53:AF53" si="41">IFERROR(RANK(W22, $W22:$AF22, 0), )</f>
        <v/>
      </c>
      <c r="X53" s="19" t="str">
        <f t="shared" si="41"/>
        <v/>
      </c>
      <c r="Y53" s="19" t="str">
        <f t="shared" si="41"/>
        <v/>
      </c>
      <c r="Z53" s="19" t="str">
        <f t="shared" si="41"/>
        <v/>
      </c>
      <c r="AA53" s="19" t="str">
        <f t="shared" si="41"/>
        <v/>
      </c>
      <c r="AB53" s="29">
        <f t="shared" si="41"/>
        <v>2</v>
      </c>
      <c r="AC53" s="31">
        <f t="shared" si="41"/>
        <v>1</v>
      </c>
      <c r="AD53" s="19" t="str">
        <f t="shared" si="41"/>
        <v/>
      </c>
      <c r="AE53" s="19" t="str">
        <f t="shared" si="41"/>
        <v/>
      </c>
      <c r="AF53" s="19" t="str">
        <f t="shared" si="41"/>
        <v/>
      </c>
      <c r="AG53" s="19"/>
      <c r="AH53" s="19"/>
      <c r="AI53" s="19"/>
      <c r="AJ53" s="19"/>
      <c r="AK53" s="19"/>
      <c r="AL53" s="19"/>
      <c r="AM53" s="19"/>
    </row>
    <row r="54">
      <c r="A54" s="22" t="s">
        <v>67</v>
      </c>
      <c r="B54" s="19"/>
      <c r="C54" s="19"/>
      <c r="D54" s="19"/>
      <c r="E54" s="19"/>
      <c r="F54" s="19"/>
      <c r="G54" s="19"/>
      <c r="H54" s="19" t="str">
        <f t="shared" si="3"/>
        <v>Congenital malformations, deformations and chromosomal abnormalities (Q00-Q99)</v>
      </c>
      <c r="I54" s="19">
        <f t="shared" ref="I54:R54" si="42">IFERROR(RANK(I23, $I23:$R23, 0), )</f>
        <v>1</v>
      </c>
      <c r="J54" s="19">
        <f t="shared" si="42"/>
        <v>5</v>
      </c>
      <c r="K54" s="19">
        <f t="shared" si="42"/>
        <v>4</v>
      </c>
      <c r="L54" s="19">
        <f t="shared" si="42"/>
        <v>3</v>
      </c>
      <c r="M54" s="19">
        <f t="shared" si="42"/>
        <v>2</v>
      </c>
      <c r="N54" s="19" t="str">
        <f t="shared" si="42"/>
        <v/>
      </c>
      <c r="O54" s="19" t="str">
        <f t="shared" si="42"/>
        <v/>
      </c>
      <c r="P54" s="19" t="str">
        <f t="shared" si="42"/>
        <v/>
      </c>
      <c r="Q54" s="19" t="str">
        <f t="shared" si="42"/>
        <v/>
      </c>
      <c r="R54" s="19" t="str">
        <f t="shared" si="42"/>
        <v/>
      </c>
      <c r="S54" s="19"/>
      <c r="T54" s="19"/>
      <c r="U54" s="19"/>
      <c r="V54" s="19" t="s">
        <v>33</v>
      </c>
      <c r="W54" s="41">
        <f t="shared" ref="W54:AF54" si="43">IFERROR(RANK(W23, $W23:$AF23, 0), )</f>
        <v>1</v>
      </c>
      <c r="X54" s="42">
        <f t="shared" si="43"/>
        <v>4</v>
      </c>
      <c r="Y54" s="42">
        <f t="shared" si="43"/>
        <v>4</v>
      </c>
      <c r="Z54" s="42">
        <f t="shared" si="43"/>
        <v>3</v>
      </c>
      <c r="AA54" s="43">
        <f t="shared" si="43"/>
        <v>2</v>
      </c>
      <c r="AB54" s="19" t="str">
        <f t="shared" si="43"/>
        <v/>
      </c>
      <c r="AC54" s="19" t="str">
        <f t="shared" si="43"/>
        <v/>
      </c>
      <c r="AD54" s="19" t="str">
        <f t="shared" si="43"/>
        <v/>
      </c>
      <c r="AE54" s="19" t="str">
        <f t="shared" si="43"/>
        <v/>
      </c>
      <c r="AF54" s="19" t="str">
        <f t="shared" si="43"/>
        <v/>
      </c>
      <c r="AG54" s="19"/>
      <c r="AH54" s="19"/>
      <c r="AI54" s="19"/>
      <c r="AJ54" s="19"/>
      <c r="AK54" s="19"/>
      <c r="AL54" s="19"/>
      <c r="AM54" s="19"/>
    </row>
    <row r="55">
      <c r="A55" s="19" t="s">
        <v>58</v>
      </c>
      <c r="B55" s="19" t="s">
        <v>8</v>
      </c>
      <c r="C55" s="19"/>
      <c r="D55" s="19"/>
      <c r="E55" s="19"/>
      <c r="F55" s="19"/>
      <c r="G55" s="19"/>
      <c r="H55" s="19" t="str">
        <f t="shared" si="3"/>
        <v>Pregnancy, childbirth and the puerperium (O00-O99)</v>
      </c>
      <c r="I55" s="19" t="str">
        <f t="shared" ref="I55:R55" si="44">IFERROR(RANK(I24, $I24:$R24, 0), )</f>
        <v/>
      </c>
      <c r="J55" s="19" t="str">
        <f t="shared" si="44"/>
        <v/>
      </c>
      <c r="K55" s="19">
        <f t="shared" si="44"/>
        <v>2</v>
      </c>
      <c r="L55" s="19">
        <f t="shared" si="44"/>
        <v>1</v>
      </c>
      <c r="M55" s="19" t="str">
        <f t="shared" si="44"/>
        <v/>
      </c>
      <c r="N55" s="19" t="str">
        <f t="shared" si="44"/>
        <v/>
      </c>
      <c r="O55" s="19" t="str">
        <f t="shared" si="44"/>
        <v/>
      </c>
      <c r="P55" s="19" t="str">
        <f t="shared" si="44"/>
        <v/>
      </c>
      <c r="Q55" s="19" t="str">
        <f t="shared" si="44"/>
        <v/>
      </c>
      <c r="R55" s="19" t="str">
        <f t="shared" si="44"/>
        <v/>
      </c>
      <c r="S55" s="19"/>
      <c r="T55" s="19"/>
      <c r="U55" s="19"/>
      <c r="V55" s="19" t="s">
        <v>43</v>
      </c>
      <c r="W55" s="44" t="str">
        <f t="shared" ref="W55:AF55" si="45">IFERROR(RANK(W24, $W24:$AF24, 0), )</f>
        <v/>
      </c>
      <c r="X55" s="19" t="str">
        <f t="shared" si="45"/>
        <v/>
      </c>
      <c r="Y55" s="19">
        <f t="shared" si="45"/>
        <v>2</v>
      </c>
      <c r="Z55" s="19">
        <f t="shared" si="45"/>
        <v>1</v>
      </c>
      <c r="AA55" s="45" t="str">
        <f t="shared" si="45"/>
        <v/>
      </c>
      <c r="AB55" s="19" t="str">
        <f t="shared" si="45"/>
        <v/>
      </c>
      <c r="AC55" s="19" t="str">
        <f t="shared" si="45"/>
        <v/>
      </c>
      <c r="AD55" s="19" t="str">
        <f t="shared" si="45"/>
        <v/>
      </c>
      <c r="AE55" s="19" t="str">
        <f t="shared" si="45"/>
        <v/>
      </c>
      <c r="AF55" s="19" t="str">
        <f t="shared" si="45"/>
        <v/>
      </c>
      <c r="AG55" s="19"/>
      <c r="AH55" s="19"/>
      <c r="AI55" s="19"/>
      <c r="AJ55" s="19"/>
      <c r="AK55" s="19"/>
      <c r="AL55" s="19"/>
      <c r="AM55" s="19"/>
    </row>
    <row r="56">
      <c r="A56" s="19" t="s">
        <v>10</v>
      </c>
      <c r="B56" s="19" t="s">
        <v>14</v>
      </c>
      <c r="C56" s="19" t="s">
        <v>55</v>
      </c>
      <c r="D56" s="23" t="s">
        <v>63</v>
      </c>
      <c r="E56" s="23" t="s">
        <v>64</v>
      </c>
      <c r="F56" s="19"/>
      <c r="G56" s="19"/>
      <c r="H56" s="19" t="str">
        <f t="shared" si="3"/>
        <v>Anemias (D50-D64)</v>
      </c>
      <c r="I56" s="19">
        <f t="shared" ref="I56:R56" si="46">IFERROR(RANK(I25, $I25:$R25, 0), )</f>
        <v>2</v>
      </c>
      <c r="J56" s="19">
        <f t="shared" si="46"/>
        <v>3</v>
      </c>
      <c r="K56" s="19">
        <f t="shared" si="46"/>
        <v>1</v>
      </c>
      <c r="L56" s="19" t="str">
        <f t="shared" si="46"/>
        <v/>
      </c>
      <c r="M56" s="19" t="str">
        <f t="shared" si="46"/>
        <v/>
      </c>
      <c r="N56" s="19" t="str">
        <f t="shared" si="46"/>
        <v/>
      </c>
      <c r="O56" s="19" t="str">
        <f t="shared" si="46"/>
        <v/>
      </c>
      <c r="P56" s="19" t="str">
        <f t="shared" si="46"/>
        <v/>
      </c>
      <c r="Q56" s="19" t="str">
        <f t="shared" si="46"/>
        <v/>
      </c>
      <c r="R56" s="19" t="str">
        <f t="shared" si="46"/>
        <v/>
      </c>
      <c r="S56" s="19"/>
      <c r="T56" s="19"/>
      <c r="U56" s="19"/>
      <c r="V56" s="19" t="s">
        <v>36</v>
      </c>
      <c r="W56" s="44">
        <f t="shared" ref="W56:AF56" si="47">IFERROR(RANK(W25, $W25:$AF25, 0), )</f>
        <v>1</v>
      </c>
      <c r="X56" s="19">
        <f t="shared" si="47"/>
        <v>2</v>
      </c>
      <c r="Y56" s="19" t="str">
        <f t="shared" si="47"/>
        <v/>
      </c>
      <c r="Z56" s="19" t="str">
        <f t="shared" si="47"/>
        <v/>
      </c>
      <c r="AA56" s="45" t="str">
        <f t="shared" si="47"/>
        <v/>
      </c>
      <c r="AB56" s="19" t="str">
        <f t="shared" si="47"/>
        <v/>
      </c>
      <c r="AC56" s="19" t="str">
        <f t="shared" si="47"/>
        <v/>
      </c>
      <c r="AD56" s="19" t="str">
        <f t="shared" si="47"/>
        <v/>
      </c>
      <c r="AE56" s="19" t="str">
        <f t="shared" si="47"/>
        <v/>
      </c>
      <c r="AF56" s="19" t="str">
        <f t="shared" si="47"/>
        <v/>
      </c>
      <c r="AG56" s="19"/>
      <c r="AH56" s="19"/>
      <c r="AI56" s="19"/>
      <c r="AJ56" s="19"/>
      <c r="AK56" s="19"/>
      <c r="AL56" s="19"/>
      <c r="AM56" s="19"/>
    </row>
    <row r="57">
      <c r="A57" s="19">
        <v>1.0</v>
      </c>
      <c r="B57" s="21">
        <v>8.3</v>
      </c>
      <c r="C57" s="21">
        <v>10.2</v>
      </c>
      <c r="D57" s="19">
        <v>6.19</v>
      </c>
      <c r="E57" s="24" t="s">
        <v>65</v>
      </c>
      <c r="F57" s="19"/>
      <c r="G57" s="19"/>
      <c r="H57" s="19" t="str">
        <f t="shared" si="3"/>
        <v>Legal intervention (Y35,Y89.0)</v>
      </c>
      <c r="I57" s="19" t="str">
        <f t="shared" ref="I57:R57" si="48">IFERROR(RANK(I26, $I26:$R26, 0), )</f>
        <v/>
      </c>
      <c r="J57" s="19" t="str">
        <f t="shared" si="48"/>
        <v/>
      </c>
      <c r="K57" s="19">
        <f t="shared" si="48"/>
        <v>1</v>
      </c>
      <c r="L57" s="19" t="str">
        <f t="shared" si="48"/>
        <v/>
      </c>
      <c r="M57" s="19" t="str">
        <f t="shared" si="48"/>
        <v/>
      </c>
      <c r="N57" s="19" t="str">
        <f t="shared" si="48"/>
        <v/>
      </c>
      <c r="O57" s="19" t="str">
        <f t="shared" si="48"/>
        <v/>
      </c>
      <c r="P57" s="19" t="str">
        <f t="shared" si="48"/>
        <v/>
      </c>
      <c r="Q57" s="19" t="str">
        <f t="shared" si="48"/>
        <v/>
      </c>
      <c r="R57" s="19" t="str">
        <f t="shared" si="48"/>
        <v/>
      </c>
      <c r="S57" s="19"/>
      <c r="T57" s="19"/>
      <c r="U57" s="19"/>
      <c r="V57" s="19" t="s">
        <v>38</v>
      </c>
      <c r="W57" s="44">
        <f t="shared" ref="W57:Y57" si="49">IFERROR(RANK(W26, $W26:$AF26, 0), )</f>
        <v>2</v>
      </c>
      <c r="X57" s="19">
        <f t="shared" si="49"/>
        <v>3</v>
      </c>
      <c r="Y57" s="19">
        <f t="shared" si="49"/>
        <v>1</v>
      </c>
      <c r="Z57" s="19"/>
      <c r="AA57" s="45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</row>
    <row r="58">
      <c r="A58" s="19">
        <v>2.0</v>
      </c>
      <c r="B58" s="21">
        <v>3.7</v>
      </c>
      <c r="C58" s="21">
        <v>4.5</v>
      </c>
      <c r="D58" s="19">
        <v>2.85</v>
      </c>
      <c r="E58" s="24" t="s">
        <v>65</v>
      </c>
      <c r="F58" s="19"/>
      <c r="G58" s="19"/>
      <c r="H58" s="19" t="str">
        <f t="shared" si="3"/>
        <v>Certain conditions originating in the perinatal period (P00-P96)</v>
      </c>
      <c r="I58" s="19">
        <f t="shared" ref="I58:R58" si="50">IFERROR(RANK(I27, $I27:$R27, 0), )</f>
        <v>1</v>
      </c>
      <c r="J58" s="19">
        <f t="shared" si="50"/>
        <v>2</v>
      </c>
      <c r="K58" s="19" t="str">
        <f t="shared" si="50"/>
        <v/>
      </c>
      <c r="L58" s="19" t="str">
        <f t="shared" si="50"/>
        <v/>
      </c>
      <c r="M58" s="19" t="str">
        <f t="shared" si="50"/>
        <v/>
      </c>
      <c r="N58" s="19" t="str">
        <f t="shared" si="50"/>
        <v/>
      </c>
      <c r="O58" s="19" t="str">
        <f t="shared" si="50"/>
        <v/>
      </c>
      <c r="P58" s="19" t="str">
        <f t="shared" si="50"/>
        <v/>
      </c>
      <c r="Q58" s="19" t="str">
        <f t="shared" si="50"/>
        <v/>
      </c>
      <c r="R58" s="19" t="str">
        <f t="shared" si="50"/>
        <v/>
      </c>
      <c r="S58" s="19"/>
      <c r="T58" s="19"/>
      <c r="U58" s="19"/>
      <c r="V58" s="19" t="s">
        <v>45</v>
      </c>
      <c r="W58" s="44" t="str">
        <f t="shared" ref="W58:AF58" si="51">IFERROR(RANK(W27, $W27:$AF27, 0), )</f>
        <v/>
      </c>
      <c r="X58" s="19" t="str">
        <f t="shared" si="51"/>
        <v/>
      </c>
      <c r="Y58" s="19">
        <f t="shared" si="51"/>
        <v>1</v>
      </c>
      <c r="Z58" s="19" t="str">
        <f t="shared" si="51"/>
        <v/>
      </c>
      <c r="AA58" s="45" t="str">
        <f t="shared" si="51"/>
        <v/>
      </c>
      <c r="AB58" s="19" t="str">
        <f t="shared" si="51"/>
        <v/>
      </c>
      <c r="AC58" s="19" t="str">
        <f t="shared" si="51"/>
        <v/>
      </c>
      <c r="AD58" s="19" t="str">
        <f t="shared" si="51"/>
        <v/>
      </c>
      <c r="AE58" s="19" t="str">
        <f t="shared" si="51"/>
        <v/>
      </c>
      <c r="AF58" s="19" t="str">
        <f t="shared" si="51"/>
        <v/>
      </c>
      <c r="AG58" s="19"/>
      <c r="AH58" s="19"/>
      <c r="AI58" s="19"/>
      <c r="AJ58" s="19"/>
      <c r="AK58" s="19"/>
      <c r="AL58" s="19"/>
      <c r="AM58" s="19"/>
    </row>
    <row r="59">
      <c r="A59" s="19">
        <v>3.0</v>
      </c>
      <c r="B59" s="21">
        <v>26.4</v>
      </c>
      <c r="C59" s="21">
        <v>37.9</v>
      </c>
      <c r="D59" s="19">
        <v>14.35</v>
      </c>
      <c r="E59" s="25" t="s">
        <v>66</v>
      </c>
      <c r="F59" s="19"/>
      <c r="G59" s="19"/>
      <c r="H59" s="19" t="str">
        <f t="shared" si="3"/>
        <v>Complications of medical and surgical care (Y40-Y84,Y88)</v>
      </c>
      <c r="I59" s="19">
        <f t="shared" ref="I59:R59" si="52">IFERROR(RANK(I28, $I28:$R28, 0), )</f>
        <v>2</v>
      </c>
      <c r="J59" s="19">
        <f t="shared" si="52"/>
        <v>1</v>
      </c>
      <c r="K59" s="19" t="str">
        <f t="shared" si="52"/>
        <v/>
      </c>
      <c r="L59" s="19" t="str">
        <f t="shared" si="52"/>
        <v/>
      </c>
      <c r="M59" s="19" t="str">
        <f t="shared" si="52"/>
        <v/>
      </c>
      <c r="N59" s="19" t="str">
        <f t="shared" si="52"/>
        <v/>
      </c>
      <c r="O59" s="19" t="str">
        <f t="shared" si="52"/>
        <v/>
      </c>
      <c r="P59" s="19" t="str">
        <f t="shared" si="52"/>
        <v/>
      </c>
      <c r="Q59" s="19" t="str">
        <f t="shared" si="52"/>
        <v/>
      </c>
      <c r="R59" s="19" t="str">
        <f t="shared" si="52"/>
        <v/>
      </c>
      <c r="S59" s="19"/>
      <c r="T59" s="19"/>
      <c r="U59" s="19"/>
      <c r="V59" s="19" t="s">
        <v>37</v>
      </c>
      <c r="W59" s="44">
        <f t="shared" ref="W59:Y59" si="53">IFERROR(RANK(W28, $W28:$AF28, 0), )</f>
        <v>1</v>
      </c>
      <c r="X59" s="19" t="str">
        <f t="shared" si="53"/>
        <v/>
      </c>
      <c r="Y59" s="19" t="str">
        <f t="shared" si="53"/>
        <v/>
      </c>
      <c r="Z59" s="19"/>
      <c r="AA59" s="45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</row>
    <row r="60">
      <c r="A60" s="19">
        <v>4.0</v>
      </c>
      <c r="B60" s="21">
        <v>37.8</v>
      </c>
      <c r="C60" s="21">
        <v>55.6</v>
      </c>
      <c r="D60" s="19">
        <v>19.73</v>
      </c>
      <c r="E60" s="25" t="s">
        <v>66</v>
      </c>
      <c r="F60" s="19"/>
      <c r="G60" s="19"/>
      <c r="H60" s="19" t="str">
        <f t="shared" si="3"/>
        <v>Meningitis (G00,G03)</v>
      </c>
      <c r="I60" s="19">
        <f t="shared" ref="I60:R60" si="54">IFERROR(RANK(I29, $I29:$R29, 0), )</f>
        <v>1</v>
      </c>
      <c r="J60" s="19" t="str">
        <f t="shared" si="54"/>
        <v/>
      </c>
      <c r="K60" s="19" t="str">
        <f t="shared" si="54"/>
        <v/>
      </c>
      <c r="L60" s="19" t="str">
        <f t="shared" si="54"/>
        <v/>
      </c>
      <c r="M60" s="19" t="str">
        <f t="shared" si="54"/>
        <v/>
      </c>
      <c r="N60" s="19" t="str">
        <f t="shared" si="54"/>
        <v/>
      </c>
      <c r="O60" s="19" t="str">
        <f t="shared" si="54"/>
        <v/>
      </c>
      <c r="P60" s="19" t="str">
        <f t="shared" si="54"/>
        <v/>
      </c>
      <c r="Q60" s="19" t="str">
        <f t="shared" si="54"/>
        <v/>
      </c>
      <c r="R60" s="19" t="str">
        <f t="shared" si="54"/>
        <v/>
      </c>
      <c r="S60" s="19"/>
      <c r="T60" s="19"/>
      <c r="U60" s="19"/>
      <c r="V60" s="19" t="s">
        <v>39</v>
      </c>
      <c r="W60" s="44">
        <f t="shared" ref="W60:X60" si="55">IFERROR(RANK(W29, $W29:$AF29, 0), )</f>
        <v>2</v>
      </c>
      <c r="X60" s="19">
        <f t="shared" si="55"/>
        <v>1</v>
      </c>
      <c r="Y60" s="19"/>
      <c r="Z60" s="19"/>
      <c r="AA60" s="45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</row>
    <row r="61">
      <c r="A61" s="19">
        <v>5.0</v>
      </c>
      <c r="B61" s="21">
        <v>38.0</v>
      </c>
      <c r="C61" s="21">
        <v>52.4</v>
      </c>
      <c r="D61" s="19">
        <v>23.58</v>
      </c>
      <c r="E61" s="25" t="s">
        <v>66</v>
      </c>
      <c r="F61" s="19"/>
      <c r="G61" s="19"/>
      <c r="H61" s="19" t="str">
        <f t="shared" si="3"/>
        <v>Acute bronchitis and bronchiolitis (J20-J21)</v>
      </c>
      <c r="I61" s="19">
        <f t="shared" ref="I61:R61" si="56">IFERROR(RANK(I30, $I30:$R30, 0), )</f>
        <v>1</v>
      </c>
      <c r="J61" s="19" t="str">
        <f t="shared" si="56"/>
        <v/>
      </c>
      <c r="K61" s="19" t="str">
        <f t="shared" si="56"/>
        <v/>
      </c>
      <c r="L61" s="19" t="str">
        <f t="shared" si="56"/>
        <v/>
      </c>
      <c r="M61" s="19" t="str">
        <f t="shared" si="56"/>
        <v/>
      </c>
      <c r="N61" s="19" t="str">
        <f t="shared" si="56"/>
        <v/>
      </c>
      <c r="O61" s="19" t="str">
        <f t="shared" si="56"/>
        <v/>
      </c>
      <c r="P61" s="19" t="str">
        <f t="shared" si="56"/>
        <v/>
      </c>
      <c r="Q61" s="19" t="str">
        <f t="shared" si="56"/>
        <v/>
      </c>
      <c r="R61" s="19" t="str">
        <f t="shared" si="56"/>
        <v/>
      </c>
      <c r="S61" s="19"/>
      <c r="T61" s="19"/>
      <c r="U61" s="19"/>
      <c r="V61" s="19" t="s">
        <v>40</v>
      </c>
      <c r="W61" s="46">
        <f t="shared" ref="W61:X61" si="57">IFERROR(RANK(W30, $W30:$AF30, 0), )</f>
        <v>1</v>
      </c>
      <c r="X61" s="47">
        <f t="shared" si="57"/>
        <v>1</v>
      </c>
      <c r="Y61" s="47"/>
      <c r="Z61" s="47"/>
      <c r="AA61" s="48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</row>
    <row r="62">
      <c r="A62" s="19">
        <v>6.0</v>
      </c>
      <c r="B62" s="21">
        <v>46.5</v>
      </c>
      <c r="C62" s="21">
        <v>63.0</v>
      </c>
      <c r="D62" s="19">
        <v>30.49</v>
      </c>
      <c r="E62" s="25" t="s">
        <v>66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</row>
    <row r="63">
      <c r="A63" s="19">
        <v>7.0</v>
      </c>
      <c r="B63" s="21">
        <v>43.4</v>
      </c>
      <c r="C63" s="21">
        <v>61.5</v>
      </c>
      <c r="D63" s="19">
        <v>26.52</v>
      </c>
      <c r="E63" s="25" t="s">
        <v>66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</row>
    <row r="64">
      <c r="A64" s="19">
        <v>8.0</v>
      </c>
      <c r="B64" s="21">
        <v>43.5</v>
      </c>
      <c r="C64" s="21">
        <v>59.5</v>
      </c>
      <c r="D64" s="19">
        <v>15.68</v>
      </c>
      <c r="E64" s="25" t="s">
        <v>66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</row>
    <row r="65">
      <c r="A65" s="19">
        <v>11.0</v>
      </c>
      <c r="B65" s="21">
        <v>41.3</v>
      </c>
      <c r="C65" s="21">
        <v>52.6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</row>
    <row r="66">
      <c r="A66" s="19" t="s">
        <v>60</v>
      </c>
      <c r="B66" s="21">
        <v>288.9</v>
      </c>
      <c r="C66" s="21">
        <v>397.2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</row>
    <row r="67">
      <c r="A67" s="22" t="s">
        <v>68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</row>
    <row r="68">
      <c r="A68" s="19" t="s">
        <v>58</v>
      </c>
      <c r="B68" s="19" t="s">
        <v>8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</row>
    <row r="69">
      <c r="A69" s="19" t="s">
        <v>10</v>
      </c>
      <c r="B69" s="19" t="s">
        <v>14</v>
      </c>
      <c r="C69" s="19" t="s">
        <v>55</v>
      </c>
      <c r="D69" s="23" t="s">
        <v>63</v>
      </c>
      <c r="E69" s="23" t="s">
        <v>64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</row>
    <row r="70">
      <c r="A70" s="19">
        <v>1.0</v>
      </c>
      <c r="B70" s="21">
        <v>2.1</v>
      </c>
      <c r="C70" s="21">
        <v>2.3</v>
      </c>
      <c r="D70" s="19">
        <v>1.95</v>
      </c>
      <c r="E70" s="24" t="s">
        <v>65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</row>
    <row r="71">
      <c r="A71" s="19">
        <v>2.0</v>
      </c>
      <c r="B71" s="21">
        <v>0.7</v>
      </c>
      <c r="C71" s="21">
        <v>0.8</v>
      </c>
      <c r="D71" s="19">
        <v>0.54</v>
      </c>
      <c r="E71" s="24" t="s">
        <v>65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</row>
    <row r="72">
      <c r="A72" s="19">
        <v>3.0</v>
      </c>
      <c r="B72" s="21">
        <v>9.8</v>
      </c>
      <c r="C72" s="21">
        <v>16.7</v>
      </c>
      <c r="D72" s="19">
        <v>2.63</v>
      </c>
      <c r="E72" s="25" t="s">
        <v>66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</row>
    <row r="73">
      <c r="A73" s="19">
        <v>4.0</v>
      </c>
      <c r="B73" s="21">
        <v>9.9</v>
      </c>
      <c r="C73" s="21">
        <v>16.4</v>
      </c>
      <c r="D73" s="19">
        <v>3.21</v>
      </c>
      <c r="E73" s="25" t="s">
        <v>66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</row>
    <row r="74">
      <c r="A74" s="19">
        <v>5.0</v>
      </c>
      <c r="B74" s="21">
        <v>6.4</v>
      </c>
      <c r="C74" s="21">
        <v>10.1</v>
      </c>
      <c r="D74" s="19">
        <v>2.74</v>
      </c>
      <c r="E74" s="25" t="s">
        <v>66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</row>
    <row r="75">
      <c r="A75" s="19">
        <v>6.0</v>
      </c>
      <c r="B75" s="21">
        <v>4.5</v>
      </c>
      <c r="C75" s="21">
        <v>6.9</v>
      </c>
      <c r="D75" s="19">
        <v>2.3</v>
      </c>
      <c r="E75" s="24" t="s">
        <v>65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</row>
    <row r="76">
      <c r="A76" s="19">
        <v>11.0</v>
      </c>
      <c r="B76" s="19"/>
      <c r="C76" s="21">
        <v>8.2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</row>
    <row r="77">
      <c r="A77" s="19" t="s">
        <v>60</v>
      </c>
      <c r="B77" s="21">
        <v>33.4</v>
      </c>
      <c r="C77" s="21">
        <v>61.4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</row>
    <row r="78">
      <c r="A78" s="22" t="s">
        <v>69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</row>
    <row r="79">
      <c r="A79" s="19" t="s">
        <v>57</v>
      </c>
      <c r="B79" s="19" t="s">
        <v>8</v>
      </c>
      <c r="C79" s="19"/>
      <c r="D79" s="19"/>
      <c r="E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</row>
    <row r="80">
      <c r="A80" s="19" t="s">
        <v>10</v>
      </c>
      <c r="B80" s="19" t="s">
        <v>14</v>
      </c>
      <c r="C80" s="19" t="s">
        <v>55</v>
      </c>
      <c r="D80" s="26" t="s">
        <v>63</v>
      </c>
      <c r="E80" s="19"/>
      <c r="I80" s="22" t="s">
        <v>63</v>
      </c>
      <c r="J80" s="22" t="s">
        <v>71</v>
      </c>
      <c r="K80" s="22" t="s">
        <v>72</v>
      </c>
      <c r="L80" s="22" t="s">
        <v>73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</row>
    <row r="81">
      <c r="A81" s="19">
        <v>1.0</v>
      </c>
      <c r="B81" s="20">
        <v>337.0</v>
      </c>
      <c r="C81" s="20">
        <v>184.0</v>
      </c>
      <c r="D81" s="20">
        <f t="shared" ref="D81:D86" si="58">B81-C81</f>
        <v>153</v>
      </c>
      <c r="E81" s="19"/>
      <c r="I81" s="19">
        <f t="shared" ref="I81:I89" si="59">G81-H81</f>
        <v>7830563.554</v>
      </c>
      <c r="J81" s="19">
        <f t="shared" ref="J81:J86" si="60">ROUND((D81/I81)*100000,2)</f>
        <v>1.95</v>
      </c>
      <c r="K81" s="19">
        <f t="shared" ref="K81:K88" si="61">ROUND((D90/I81)*100000,2)</f>
        <v>6.19</v>
      </c>
      <c r="L81" s="19">
        <f t="shared" ref="L81:L87" si="62">ROUND((D101/I81)*100000,2)</f>
        <v>22.28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</row>
    <row r="82">
      <c r="A82" s="19">
        <v>2.0</v>
      </c>
      <c r="B82" s="20">
        <v>277.0</v>
      </c>
      <c r="C82" s="20">
        <v>168.0</v>
      </c>
      <c r="D82" s="20">
        <f t="shared" si="58"/>
        <v>109</v>
      </c>
      <c r="E82" s="19"/>
      <c r="I82" s="19">
        <f t="shared" si="59"/>
        <v>20001580.61</v>
      </c>
      <c r="J82" s="19">
        <f t="shared" si="60"/>
        <v>0.54</v>
      </c>
      <c r="K82" s="19">
        <f t="shared" si="61"/>
        <v>2.85</v>
      </c>
      <c r="L82" s="19">
        <f t="shared" si="62"/>
        <v>11.31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>
      <c r="A83" s="19">
        <v>3.0</v>
      </c>
      <c r="B83" s="20">
        <v>4329.0</v>
      </c>
      <c r="C83" s="20">
        <v>3765.0</v>
      </c>
      <c r="D83" s="20">
        <f t="shared" si="58"/>
        <v>564</v>
      </c>
      <c r="E83" s="19"/>
      <c r="I83" s="19">
        <f t="shared" si="59"/>
        <v>21428559.05</v>
      </c>
      <c r="J83" s="19">
        <f t="shared" si="60"/>
        <v>2.63</v>
      </c>
      <c r="K83" s="19">
        <f t="shared" si="61"/>
        <v>14.35</v>
      </c>
      <c r="L83" s="19">
        <f t="shared" si="62"/>
        <v>35.57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>
      <c r="A84" s="19">
        <v>4.0</v>
      </c>
      <c r="B84" s="20">
        <v>4236.0</v>
      </c>
      <c r="C84" s="20">
        <v>3555.0</v>
      </c>
      <c r="D84" s="20">
        <f t="shared" si="58"/>
        <v>681</v>
      </c>
      <c r="E84" s="19"/>
      <c r="I84" s="19">
        <f t="shared" si="59"/>
        <v>21210959.53</v>
      </c>
      <c r="J84" s="19">
        <f t="shared" si="60"/>
        <v>3.21</v>
      </c>
      <c r="K84" s="19">
        <f t="shared" si="61"/>
        <v>19.73</v>
      </c>
      <c r="L84" s="19">
        <f t="shared" si="62"/>
        <v>66.01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>
      <c r="A85" s="19">
        <v>5.0</v>
      </c>
      <c r="B85" s="20">
        <v>2581.0</v>
      </c>
      <c r="C85" s="20">
        <v>2025.0</v>
      </c>
      <c r="D85" s="20">
        <f t="shared" si="58"/>
        <v>556</v>
      </c>
      <c r="E85" s="19"/>
      <c r="I85" s="19">
        <f t="shared" si="59"/>
        <v>20303487.83</v>
      </c>
      <c r="J85" s="19">
        <f t="shared" si="60"/>
        <v>2.74</v>
      </c>
      <c r="K85" s="19">
        <f t="shared" si="61"/>
        <v>23.58</v>
      </c>
      <c r="L85" s="19">
        <f t="shared" si="62"/>
        <v>130.52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>
      <c r="A86" s="19">
        <v>6.0</v>
      </c>
      <c r="B86" s="20">
        <v>1989.0</v>
      </c>
      <c r="C86" s="20">
        <v>1479.0</v>
      </c>
      <c r="D86" s="20">
        <f t="shared" si="58"/>
        <v>510</v>
      </c>
      <c r="E86" s="19"/>
      <c r="I86" s="19">
        <f t="shared" si="59"/>
        <v>22194401.91</v>
      </c>
      <c r="J86" s="19">
        <f t="shared" si="60"/>
        <v>2.3</v>
      </c>
      <c r="K86" s="19">
        <f t="shared" si="61"/>
        <v>30.49</v>
      </c>
      <c r="L86" s="19">
        <f t="shared" si="62"/>
        <v>314.16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>
      <c r="A87" s="22" t="s">
        <v>74</v>
      </c>
      <c r="B87" s="19"/>
      <c r="C87" s="19">
        <f>TTEST(C81:C86,D81:D86,1,3)</f>
        <v>0.03787651759</v>
      </c>
      <c r="D87" s="19"/>
      <c r="E87" s="19"/>
      <c r="I87" s="19">
        <f t="shared" si="59"/>
        <v>20360367.55</v>
      </c>
      <c r="J87" s="19"/>
      <c r="K87" s="19">
        <f t="shared" si="61"/>
        <v>26.52</v>
      </c>
      <c r="L87" s="19">
        <f t="shared" si="62"/>
        <v>647.35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>
      <c r="A88" s="19" t="s">
        <v>57</v>
      </c>
      <c r="B88" s="19" t="s">
        <v>8</v>
      </c>
      <c r="C88" s="19"/>
      <c r="D88" s="19"/>
      <c r="E88" s="19"/>
      <c r="I88" s="19">
        <f t="shared" si="59"/>
        <v>13418923.43</v>
      </c>
      <c r="J88" s="19"/>
      <c r="K88" s="19">
        <f t="shared" si="61"/>
        <v>29.46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</row>
    <row r="89">
      <c r="A89" s="19" t="s">
        <v>10</v>
      </c>
      <c r="B89" s="19" t="s">
        <v>14</v>
      </c>
      <c r="C89" s="19" t="s">
        <v>55</v>
      </c>
      <c r="D89" s="27" t="s">
        <v>63</v>
      </c>
      <c r="E89" s="19"/>
      <c r="I89" s="19">
        <f t="shared" si="59"/>
        <v>160481177.4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</row>
    <row r="90">
      <c r="A90" s="19">
        <v>1.0</v>
      </c>
      <c r="B90" s="20">
        <v>1316.0</v>
      </c>
      <c r="C90" s="20">
        <v>831.0</v>
      </c>
      <c r="D90" s="20">
        <f t="shared" ref="D90:D97" si="63">B90-C90</f>
        <v>485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>
      <c r="A91" s="19">
        <v>2.0</v>
      </c>
      <c r="B91" s="20">
        <v>1521.0</v>
      </c>
      <c r="C91" s="20">
        <v>950.0</v>
      </c>
      <c r="D91" s="20">
        <f t="shared" si="63"/>
        <v>571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>
      <c r="A92" s="19">
        <v>3.0</v>
      </c>
      <c r="B92" s="20">
        <v>11619.0</v>
      </c>
      <c r="C92" s="20">
        <v>8545.0</v>
      </c>
      <c r="D92" s="20">
        <f t="shared" si="63"/>
        <v>3074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>
      <c r="A93" s="19">
        <v>4.0</v>
      </c>
      <c r="B93" s="20">
        <v>16209.0</v>
      </c>
      <c r="C93" s="20">
        <v>12025.0</v>
      </c>
      <c r="D93" s="20">
        <f t="shared" si="63"/>
        <v>4184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</row>
    <row r="94">
      <c r="A94" s="19">
        <v>5.0</v>
      </c>
      <c r="B94" s="20">
        <v>15354.0</v>
      </c>
      <c r="C94" s="20">
        <v>10566.0</v>
      </c>
      <c r="D94" s="20">
        <f t="shared" si="63"/>
        <v>4788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</row>
    <row r="95">
      <c r="A95" s="19">
        <v>6.0</v>
      </c>
      <c r="B95" s="20">
        <v>20357.0</v>
      </c>
      <c r="C95" s="20">
        <v>13591.0</v>
      </c>
      <c r="D95" s="20">
        <f t="shared" si="63"/>
        <v>6766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>
      <c r="A96" s="19">
        <v>7.0</v>
      </c>
      <c r="B96" s="20">
        <v>17057.0</v>
      </c>
      <c r="C96" s="20">
        <v>11658.0</v>
      </c>
      <c r="D96" s="20">
        <f t="shared" si="63"/>
        <v>5399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>
      <c r="A97" s="19">
        <v>8.0</v>
      </c>
      <c r="B97" s="20">
        <v>10967.0</v>
      </c>
      <c r="C97" s="20">
        <v>7014.0</v>
      </c>
      <c r="D97" s="20">
        <f t="shared" si="63"/>
        <v>3953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>
      <c r="A98" s="22" t="s">
        <v>75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>
      <c r="A99" s="19" t="s">
        <v>57</v>
      </c>
      <c r="B99" s="19" t="s">
        <v>8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>
      <c r="A100" s="19" t="s">
        <v>10</v>
      </c>
      <c r="B100" s="19" t="s">
        <v>14</v>
      </c>
      <c r="C100" s="19" t="s">
        <v>55</v>
      </c>
      <c r="D100" s="27" t="s">
        <v>63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>
      <c r="A101" s="19">
        <v>1.0</v>
      </c>
      <c r="B101" s="20">
        <v>4068.0</v>
      </c>
      <c r="C101" s="20">
        <v>2323.0</v>
      </c>
      <c r="D101" s="28">
        <f t="shared" ref="D101:D107" si="64">B101-C101</f>
        <v>1745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>
      <c r="A102" s="19">
        <v>2.0</v>
      </c>
      <c r="B102" s="20">
        <v>5340.0</v>
      </c>
      <c r="C102" s="20">
        <v>3077.0</v>
      </c>
      <c r="D102" s="20">
        <f t="shared" si="64"/>
        <v>2263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>
      <c r="A103" s="19">
        <v>3.0</v>
      </c>
      <c r="B103" s="20">
        <v>28486.0</v>
      </c>
      <c r="C103" s="20">
        <v>20864.0</v>
      </c>
      <c r="D103" s="20">
        <f t="shared" si="64"/>
        <v>7622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>
      <c r="A104" s="19">
        <v>4.0</v>
      </c>
      <c r="B104" s="20">
        <v>45463.0</v>
      </c>
      <c r="C104" s="20">
        <v>31462.0</v>
      </c>
      <c r="D104" s="20">
        <f t="shared" si="64"/>
        <v>14001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A105" s="19">
        <v>5.0</v>
      </c>
      <c r="B105" s="20">
        <v>69573.0</v>
      </c>
      <c r="C105" s="20">
        <v>43072.0</v>
      </c>
      <c r="D105" s="20">
        <f t="shared" si="64"/>
        <v>26501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A106" s="19">
        <v>6.0</v>
      </c>
      <c r="B106" s="20">
        <v>177724.0</v>
      </c>
      <c r="C106" s="20">
        <v>107997.0</v>
      </c>
      <c r="D106" s="20">
        <f t="shared" si="64"/>
        <v>69727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>
      <c r="A107" s="19">
        <v>7.0</v>
      </c>
      <c r="B107" s="20">
        <v>338127.0</v>
      </c>
      <c r="C107" s="20">
        <v>206325.0</v>
      </c>
      <c r="D107" s="20">
        <f t="shared" si="64"/>
        <v>131802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>
      <c r="A110" s="22" t="s">
        <v>76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>
      <c r="D112" s="23" t="s">
        <v>63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>
      <c r="D113" s="20">
        <f t="shared" ref="D113:D117" si="65">B113-C113</f>
        <v>313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>
      <c r="D114" s="20">
        <f t="shared" si="65"/>
        <v>637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>
      <c r="D115" s="20">
        <f t="shared" si="65"/>
        <v>564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>
      <c r="D116" s="20">
        <f t="shared" si="65"/>
        <v>975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>
      <c r="D117" s="20">
        <f t="shared" si="65"/>
        <v>3074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>
      <c r="D120" s="23" t="s">
        <v>63</v>
      </c>
      <c r="E120" s="23" t="s">
        <v>64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>
      <c r="D121" s="19">
        <v>1.46</v>
      </c>
      <c r="E121" s="24" t="s">
        <v>65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>
      <c r="D122" s="19">
        <v>2.97</v>
      </c>
      <c r="E122" s="24" t="s">
        <v>65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>
      <c r="D123" s="19">
        <v>2.63</v>
      </c>
      <c r="E123" s="25" t="s">
        <v>66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>
      <c r="D124" s="19">
        <v>4.55</v>
      </c>
      <c r="E124" s="25" t="s">
        <v>66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>
      <c r="D125" s="19">
        <v>14.35</v>
      </c>
      <c r="E125" s="25" t="s">
        <v>66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</row>
  </sheetData>
  <conditionalFormatting sqref="E46:E52 E57:E64 E70:E75 E121:E125">
    <cfRule type="containsText" dxfId="0" priority="1" operator="containsText" text="YES">
      <formula>NOT(ISERROR(SEARCH(("YES"),(E46))))</formula>
    </cfRule>
  </conditionalFormatting>
  <conditionalFormatting sqref="E46:E52 E57:E64 E70:E75 E121:E125">
    <cfRule type="containsText" dxfId="1" priority="2" operator="containsText" text="NO">
      <formula>NOT(ISERROR(SEARCH(("NO"),(E46))))</formula>
    </cfRule>
  </conditionalFormatting>
  <conditionalFormatting sqref="I34:R62">
    <cfRule type="colorScale" priority="3">
      <colorScale>
        <cfvo type="min"/>
        <cfvo type="formula" val="5.5"/>
        <cfvo type="max"/>
        <color rgb="FF57BB8A"/>
        <color rgb="FFFFFFFF"/>
        <color rgb="FFE67C73"/>
      </colorScale>
    </cfRule>
  </conditionalFormatting>
  <conditionalFormatting sqref="W34:AF62">
    <cfRule type="colorScale" priority="4">
      <colorScale>
        <cfvo type="formula" val="1"/>
        <cfvo type="formula" val="5"/>
        <cfvo type="formula" val="10"/>
        <color rgb="FF57BB8A"/>
        <color rgb="FFFFFFFF"/>
        <color rgb="FFEA9999"/>
      </colorScale>
    </cfRule>
  </conditionalFormatting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7" max="7" width="25.0"/>
  </cols>
  <sheetData>
    <row r="1">
      <c r="A1" s="49" t="s">
        <v>89</v>
      </c>
      <c r="B1" s="49" t="s">
        <v>90</v>
      </c>
      <c r="G1" s="50"/>
      <c r="H1" s="50"/>
      <c r="I1" s="1"/>
      <c r="J1" s="6" t="s">
        <v>91</v>
      </c>
      <c r="K1" s="6" t="s">
        <v>8</v>
      </c>
      <c r="L1" s="6" t="s">
        <v>0</v>
      </c>
      <c r="M1" s="1"/>
    </row>
    <row r="2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51" t="str">
        <f t="shared" ref="G2:G380" si="1">IF(A1="x", B1, G1)</f>
        <v>All races, both sexes, all ages</v>
      </c>
      <c r="H2" s="51" t="str">
        <f t="shared" ref="H2:H380" si="2">IF(OR(B2="RANK", A2="x"),,G2)</f>
        <v/>
      </c>
      <c r="I2" s="52"/>
      <c r="J2" s="5" t="str">
        <f>IFERROR(__xludf.DUMMYFUNCTION("IFERROR(SPLIT(H2, "", "", FALSE, TRUE), )"),"")</f>
        <v/>
      </c>
      <c r="M2" s="52"/>
    </row>
    <row r="3">
      <c r="A3" s="7"/>
      <c r="B3" s="7" t="s">
        <v>12</v>
      </c>
      <c r="C3" s="7" t="s">
        <v>13</v>
      </c>
      <c r="D3" s="53">
        <v>2596993.0</v>
      </c>
      <c r="E3" s="11">
        <v>100.0</v>
      </c>
      <c r="F3" s="11">
        <v>821.5</v>
      </c>
      <c r="G3" s="51" t="str">
        <f t="shared" si="1"/>
        <v>All races, both sexes, all ages</v>
      </c>
      <c r="H3" s="51" t="str">
        <f t="shared" si="2"/>
        <v>All races, both sexes, all ages</v>
      </c>
      <c r="I3" s="52"/>
      <c r="J3" s="5" t="str">
        <f>IFERROR(__xludf.DUMMYFUNCTION("IFERROR(SPLIT(H3, "", "", FALSE, TRUE), )"),"All races")</f>
        <v>All races</v>
      </c>
      <c r="K3" s="5" t="str">
        <f>IFERROR(__xludf.DUMMYFUNCTION("""COMPUTED_VALUE"""),"both sexes")</f>
        <v>both sexes</v>
      </c>
      <c r="L3" s="5" t="str">
        <f>IFERROR(__xludf.DUMMYFUNCTION("""COMPUTED_VALUE"""),"all ages")</f>
        <v>all ages</v>
      </c>
      <c r="M3" s="11"/>
    </row>
    <row r="4">
      <c r="A4" s="11"/>
      <c r="B4" s="11">
        <v>1.0</v>
      </c>
      <c r="C4" s="7" t="s">
        <v>16</v>
      </c>
      <c r="D4" s="53">
        <v>611105.0</v>
      </c>
      <c r="E4" s="11">
        <v>23.5</v>
      </c>
      <c r="F4" s="11">
        <v>193.3</v>
      </c>
      <c r="G4" s="51" t="str">
        <f t="shared" si="1"/>
        <v>All races, both sexes, all ages</v>
      </c>
      <c r="H4" s="51" t="str">
        <f t="shared" si="2"/>
        <v>All races, both sexes, all ages</v>
      </c>
      <c r="I4" s="52"/>
      <c r="J4" s="5" t="str">
        <f>IFERROR(__xludf.DUMMYFUNCTION("IFERROR(SPLIT(H4, "", "", FALSE, TRUE), )"),"All races")</f>
        <v>All races</v>
      </c>
      <c r="K4" s="5" t="str">
        <f>IFERROR(__xludf.DUMMYFUNCTION("""COMPUTED_VALUE"""),"both sexes")</f>
        <v>both sexes</v>
      </c>
      <c r="L4" s="5" t="str">
        <f>IFERROR(__xludf.DUMMYFUNCTION("""COMPUTED_VALUE"""),"all ages")</f>
        <v>all ages</v>
      </c>
      <c r="M4" s="11"/>
    </row>
    <row r="5">
      <c r="A5" s="11"/>
      <c r="B5" s="11">
        <v>2.0</v>
      </c>
      <c r="C5" s="7" t="s">
        <v>17</v>
      </c>
      <c r="D5" s="53">
        <v>584881.0</v>
      </c>
      <c r="E5" s="11">
        <v>22.5</v>
      </c>
      <c r="F5" s="11">
        <v>185.0</v>
      </c>
      <c r="G5" s="51" t="str">
        <f t="shared" si="1"/>
        <v>All races, both sexes, all ages</v>
      </c>
      <c r="H5" s="51" t="str">
        <f t="shared" si="2"/>
        <v>All races, both sexes, all ages</v>
      </c>
      <c r="I5" s="52"/>
      <c r="J5" s="5" t="str">
        <f>IFERROR(__xludf.DUMMYFUNCTION("IFERROR(SPLIT(H5, "", "", FALSE, TRUE), )"),"All races")</f>
        <v>All races</v>
      </c>
      <c r="K5" s="5" t="str">
        <f>IFERROR(__xludf.DUMMYFUNCTION("""COMPUTED_VALUE"""),"both sexes")</f>
        <v>both sexes</v>
      </c>
      <c r="L5" s="5" t="str">
        <f>IFERROR(__xludf.DUMMYFUNCTION("""COMPUTED_VALUE"""),"all ages")</f>
        <v>all ages</v>
      </c>
      <c r="M5" s="11"/>
    </row>
    <row r="6">
      <c r="A6" s="11"/>
      <c r="B6" s="11">
        <v>3.0</v>
      </c>
      <c r="C6" s="7" t="s">
        <v>18</v>
      </c>
      <c r="D6" s="53">
        <v>149205.0</v>
      </c>
      <c r="E6" s="11">
        <v>5.7</v>
      </c>
      <c r="F6" s="11">
        <v>47.2</v>
      </c>
      <c r="G6" s="51" t="str">
        <f t="shared" si="1"/>
        <v>All races, both sexes, all ages</v>
      </c>
      <c r="H6" s="51" t="str">
        <f t="shared" si="2"/>
        <v>All races, both sexes, all ages</v>
      </c>
      <c r="I6" s="52"/>
      <c r="J6" s="5" t="str">
        <f>IFERROR(__xludf.DUMMYFUNCTION("IFERROR(SPLIT(H6, "", "", FALSE, TRUE), )"),"All races")</f>
        <v>All races</v>
      </c>
      <c r="K6" s="5" t="str">
        <f>IFERROR(__xludf.DUMMYFUNCTION("""COMPUTED_VALUE"""),"both sexes")</f>
        <v>both sexes</v>
      </c>
      <c r="L6" s="5" t="str">
        <f>IFERROR(__xludf.DUMMYFUNCTION("""COMPUTED_VALUE"""),"all ages")</f>
        <v>all ages</v>
      </c>
      <c r="M6" s="11"/>
    </row>
    <row r="7">
      <c r="A7" s="11"/>
      <c r="B7" s="11">
        <v>4.0</v>
      </c>
      <c r="C7" s="7" t="s">
        <v>19</v>
      </c>
      <c r="D7" s="53">
        <v>130557.0</v>
      </c>
      <c r="E7" s="11">
        <v>5.0</v>
      </c>
      <c r="F7" s="11">
        <v>41.3</v>
      </c>
      <c r="G7" s="51" t="str">
        <f t="shared" si="1"/>
        <v>All races, both sexes, all ages</v>
      </c>
      <c r="H7" s="51" t="str">
        <f t="shared" si="2"/>
        <v>All races, both sexes, all ages</v>
      </c>
      <c r="I7" s="52"/>
      <c r="J7" s="5" t="str">
        <f>IFERROR(__xludf.DUMMYFUNCTION("IFERROR(SPLIT(H7, "", "", FALSE, TRUE), )"),"All races")</f>
        <v>All races</v>
      </c>
      <c r="K7" s="5" t="str">
        <f>IFERROR(__xludf.DUMMYFUNCTION("""COMPUTED_VALUE"""),"both sexes")</f>
        <v>both sexes</v>
      </c>
      <c r="L7" s="5" t="str">
        <f>IFERROR(__xludf.DUMMYFUNCTION("""COMPUTED_VALUE"""),"all ages")</f>
        <v>all ages</v>
      </c>
      <c r="M7" s="11"/>
    </row>
    <row r="8">
      <c r="A8" s="11"/>
      <c r="B8" s="11">
        <v>5.0</v>
      </c>
      <c r="C8" s="7" t="s">
        <v>20</v>
      </c>
      <c r="D8" s="53">
        <v>128978.0</v>
      </c>
      <c r="E8" s="11">
        <v>5.0</v>
      </c>
      <c r="F8" s="11">
        <v>40.8</v>
      </c>
      <c r="G8" s="51" t="str">
        <f t="shared" si="1"/>
        <v>All races, both sexes, all ages</v>
      </c>
      <c r="H8" s="51" t="str">
        <f t="shared" si="2"/>
        <v>All races, both sexes, all ages</v>
      </c>
      <c r="I8" s="52"/>
      <c r="J8" s="5" t="str">
        <f>IFERROR(__xludf.DUMMYFUNCTION("IFERROR(SPLIT(H8, "", "", FALSE, TRUE), )"),"All races")</f>
        <v>All races</v>
      </c>
      <c r="K8" s="5" t="str">
        <f>IFERROR(__xludf.DUMMYFUNCTION("""COMPUTED_VALUE"""),"both sexes")</f>
        <v>both sexes</v>
      </c>
      <c r="L8" s="5" t="str">
        <f>IFERROR(__xludf.DUMMYFUNCTION("""COMPUTED_VALUE"""),"all ages")</f>
        <v>all ages</v>
      </c>
      <c r="M8" s="11"/>
    </row>
    <row r="9">
      <c r="A9" s="11"/>
      <c r="B9" s="11">
        <v>6.0</v>
      </c>
      <c r="C9" s="7" t="s">
        <v>21</v>
      </c>
      <c r="D9" s="53">
        <v>84767.0</v>
      </c>
      <c r="E9" s="11">
        <v>3.3</v>
      </c>
      <c r="F9" s="11">
        <v>26.8</v>
      </c>
      <c r="G9" s="51" t="str">
        <f t="shared" si="1"/>
        <v>All races, both sexes, all ages</v>
      </c>
      <c r="H9" s="51" t="str">
        <f t="shared" si="2"/>
        <v>All races, both sexes, all ages</v>
      </c>
      <c r="I9" s="52"/>
      <c r="J9" s="5" t="str">
        <f>IFERROR(__xludf.DUMMYFUNCTION("IFERROR(SPLIT(H9, "", "", FALSE, TRUE), )"),"All races")</f>
        <v>All races</v>
      </c>
      <c r="K9" s="5" t="str">
        <f>IFERROR(__xludf.DUMMYFUNCTION("""COMPUTED_VALUE"""),"both sexes")</f>
        <v>both sexes</v>
      </c>
      <c r="L9" s="5" t="str">
        <f>IFERROR(__xludf.DUMMYFUNCTION("""COMPUTED_VALUE"""),"all ages")</f>
        <v>all ages</v>
      </c>
      <c r="M9" s="11"/>
    </row>
    <row r="10">
      <c r="A10" s="11"/>
      <c r="B10" s="11">
        <v>7.0</v>
      </c>
      <c r="C10" s="7" t="s">
        <v>22</v>
      </c>
      <c r="D10" s="53">
        <v>75578.0</v>
      </c>
      <c r="E10" s="11">
        <v>2.9</v>
      </c>
      <c r="F10" s="11">
        <v>23.9</v>
      </c>
      <c r="G10" s="51" t="str">
        <f t="shared" si="1"/>
        <v>All races, both sexes, all ages</v>
      </c>
      <c r="H10" s="51" t="str">
        <f t="shared" si="2"/>
        <v>All races, both sexes, all ages</v>
      </c>
      <c r="I10" s="52"/>
      <c r="J10" s="5" t="str">
        <f>IFERROR(__xludf.DUMMYFUNCTION("IFERROR(SPLIT(H10, "", "", FALSE, TRUE), )"),"All races")</f>
        <v>All races</v>
      </c>
      <c r="K10" s="5" t="str">
        <f>IFERROR(__xludf.DUMMYFUNCTION("""COMPUTED_VALUE"""),"both sexes")</f>
        <v>both sexes</v>
      </c>
      <c r="L10" s="5" t="str">
        <f>IFERROR(__xludf.DUMMYFUNCTION("""COMPUTED_VALUE"""),"all ages")</f>
        <v>all ages</v>
      </c>
      <c r="M10" s="11"/>
    </row>
    <row r="11">
      <c r="A11" s="11"/>
      <c r="B11" s="11">
        <v>8.0</v>
      </c>
      <c r="C11" s="7" t="s">
        <v>23</v>
      </c>
      <c r="D11" s="53">
        <v>56979.0</v>
      </c>
      <c r="E11" s="11">
        <v>2.2</v>
      </c>
      <c r="F11" s="11">
        <v>18.0</v>
      </c>
      <c r="G11" s="51" t="str">
        <f t="shared" si="1"/>
        <v>All races, both sexes, all ages</v>
      </c>
      <c r="H11" s="51" t="str">
        <f t="shared" si="2"/>
        <v>All races, both sexes, all ages</v>
      </c>
      <c r="I11" s="52"/>
      <c r="J11" s="5" t="str">
        <f>IFERROR(__xludf.DUMMYFUNCTION("IFERROR(SPLIT(H11, "", "", FALSE, TRUE), )"),"All races")</f>
        <v>All races</v>
      </c>
      <c r="K11" s="5" t="str">
        <f>IFERROR(__xludf.DUMMYFUNCTION("""COMPUTED_VALUE"""),"both sexes")</f>
        <v>both sexes</v>
      </c>
      <c r="L11" s="5" t="str">
        <f>IFERROR(__xludf.DUMMYFUNCTION("""COMPUTED_VALUE"""),"all ages")</f>
        <v>all ages</v>
      </c>
      <c r="M11" s="11"/>
    </row>
    <row r="12">
      <c r="A12" s="11"/>
      <c r="B12" s="11">
        <v>9.0</v>
      </c>
      <c r="C12" s="7" t="s">
        <v>24</v>
      </c>
      <c r="D12" s="53">
        <v>47112.0</v>
      </c>
      <c r="E12" s="11">
        <v>1.8</v>
      </c>
      <c r="F12" s="11">
        <v>14.9</v>
      </c>
      <c r="G12" s="51" t="str">
        <f t="shared" si="1"/>
        <v>All races, both sexes, all ages</v>
      </c>
      <c r="H12" s="51" t="str">
        <f t="shared" si="2"/>
        <v>All races, both sexes, all ages</v>
      </c>
      <c r="I12" s="52"/>
      <c r="J12" s="5" t="str">
        <f>IFERROR(__xludf.DUMMYFUNCTION("IFERROR(SPLIT(H12, "", "", FALSE, TRUE), )"),"All races")</f>
        <v>All races</v>
      </c>
      <c r="K12" s="5" t="str">
        <f>IFERROR(__xludf.DUMMYFUNCTION("""COMPUTED_VALUE"""),"both sexes")</f>
        <v>both sexes</v>
      </c>
      <c r="L12" s="5" t="str">
        <f>IFERROR(__xludf.DUMMYFUNCTION("""COMPUTED_VALUE"""),"all ages")</f>
        <v>all ages</v>
      </c>
      <c r="M12" s="11"/>
    </row>
    <row r="13">
      <c r="A13" s="11"/>
      <c r="B13" s="11">
        <v>10.0</v>
      </c>
      <c r="C13" s="7" t="s">
        <v>25</v>
      </c>
      <c r="D13" s="53">
        <v>41149.0</v>
      </c>
      <c r="E13" s="11">
        <v>1.6</v>
      </c>
      <c r="F13" s="11">
        <v>13.0</v>
      </c>
      <c r="G13" s="51" t="str">
        <f t="shared" si="1"/>
        <v>All races, both sexes, all ages</v>
      </c>
      <c r="H13" s="51" t="str">
        <f t="shared" si="2"/>
        <v>All races, both sexes, all ages</v>
      </c>
      <c r="I13" s="52"/>
      <c r="J13" s="5" t="str">
        <f>IFERROR(__xludf.DUMMYFUNCTION("IFERROR(SPLIT(H13, "", "", FALSE, TRUE), )"),"All races")</f>
        <v>All races</v>
      </c>
      <c r="K13" s="5" t="str">
        <f>IFERROR(__xludf.DUMMYFUNCTION("""COMPUTED_VALUE"""),"both sexes")</f>
        <v>both sexes</v>
      </c>
      <c r="L13" s="5" t="str">
        <f>IFERROR(__xludf.DUMMYFUNCTION("""COMPUTED_VALUE"""),"all ages")</f>
        <v>all ages</v>
      </c>
      <c r="M13" s="11"/>
    </row>
    <row r="14">
      <c r="A14" s="11"/>
      <c r="B14" s="11">
        <v>11.0</v>
      </c>
      <c r="C14" s="7" t="s">
        <v>26</v>
      </c>
      <c r="D14" s="53">
        <v>38156.0</v>
      </c>
      <c r="E14" s="11">
        <v>1.5</v>
      </c>
      <c r="F14" s="11">
        <v>12.1</v>
      </c>
      <c r="G14" s="51" t="str">
        <f t="shared" si="1"/>
        <v>All races, both sexes, all ages</v>
      </c>
      <c r="H14" s="51" t="str">
        <f t="shared" si="2"/>
        <v>All races, both sexes, all ages</v>
      </c>
      <c r="I14" s="52"/>
      <c r="J14" s="5" t="str">
        <f>IFERROR(__xludf.DUMMYFUNCTION("IFERROR(SPLIT(H14, "", "", FALSE, TRUE), )"),"All races")</f>
        <v>All races</v>
      </c>
      <c r="K14" s="5" t="str">
        <f>IFERROR(__xludf.DUMMYFUNCTION("""COMPUTED_VALUE"""),"both sexes")</f>
        <v>both sexes</v>
      </c>
      <c r="L14" s="5" t="str">
        <f>IFERROR(__xludf.DUMMYFUNCTION("""COMPUTED_VALUE"""),"all ages")</f>
        <v>all ages</v>
      </c>
      <c r="M14" s="11"/>
    </row>
    <row r="15">
      <c r="A15" s="11"/>
      <c r="B15" s="11">
        <v>12.0</v>
      </c>
      <c r="C15" s="7" t="s">
        <v>27</v>
      </c>
      <c r="D15" s="53">
        <v>36427.0</v>
      </c>
      <c r="E15" s="11">
        <v>1.4</v>
      </c>
      <c r="F15" s="11">
        <v>11.5</v>
      </c>
      <c r="G15" s="51" t="str">
        <f t="shared" si="1"/>
        <v>All races, both sexes, all ages</v>
      </c>
      <c r="H15" s="51" t="str">
        <f t="shared" si="2"/>
        <v>All races, both sexes, all ages</v>
      </c>
      <c r="I15" s="52"/>
      <c r="J15" s="5" t="str">
        <f>IFERROR(__xludf.DUMMYFUNCTION("IFERROR(SPLIT(H15, "", "", FALSE, TRUE), )"),"All races")</f>
        <v>All races</v>
      </c>
      <c r="K15" s="5" t="str">
        <f>IFERROR(__xludf.DUMMYFUNCTION("""COMPUTED_VALUE"""),"both sexes")</f>
        <v>both sexes</v>
      </c>
      <c r="L15" s="5" t="str">
        <f>IFERROR(__xludf.DUMMYFUNCTION("""COMPUTED_VALUE"""),"all ages")</f>
        <v>all ages</v>
      </c>
      <c r="M15" s="11"/>
    </row>
    <row r="16">
      <c r="A16" s="11"/>
      <c r="B16" s="11">
        <v>13.0</v>
      </c>
      <c r="C16" s="7" t="s">
        <v>28</v>
      </c>
      <c r="D16" s="53">
        <v>30770.0</v>
      </c>
      <c r="E16" s="11">
        <v>1.2</v>
      </c>
      <c r="F16" s="11">
        <v>9.7</v>
      </c>
      <c r="G16" s="51" t="str">
        <f t="shared" si="1"/>
        <v>All races, both sexes, all ages</v>
      </c>
      <c r="H16" s="51" t="str">
        <f t="shared" si="2"/>
        <v>All races, both sexes, all ages</v>
      </c>
      <c r="I16" s="52"/>
      <c r="J16" s="5" t="str">
        <f>IFERROR(__xludf.DUMMYFUNCTION("IFERROR(SPLIT(H16, "", "", FALSE, TRUE), )"),"All races")</f>
        <v>All races</v>
      </c>
      <c r="K16" s="5" t="str">
        <f>IFERROR(__xludf.DUMMYFUNCTION("""COMPUTED_VALUE"""),"both sexes")</f>
        <v>both sexes</v>
      </c>
      <c r="L16" s="5" t="str">
        <f>IFERROR(__xludf.DUMMYFUNCTION("""COMPUTED_VALUE"""),"all ages")</f>
        <v>all ages</v>
      </c>
      <c r="M16" s="11"/>
    </row>
    <row r="17">
      <c r="A17" s="11"/>
      <c r="B17" s="11">
        <v>14.0</v>
      </c>
      <c r="C17" s="7" t="s">
        <v>29</v>
      </c>
      <c r="D17" s="53">
        <v>25196.0</v>
      </c>
      <c r="E17" s="11">
        <v>1.0</v>
      </c>
      <c r="F17" s="11">
        <v>8.0</v>
      </c>
      <c r="G17" s="51" t="str">
        <f t="shared" si="1"/>
        <v>All races, both sexes, all ages</v>
      </c>
      <c r="H17" s="51" t="str">
        <f t="shared" si="2"/>
        <v>All races, both sexes, all ages</v>
      </c>
      <c r="I17" s="52"/>
      <c r="J17" s="5" t="str">
        <f>IFERROR(__xludf.DUMMYFUNCTION("IFERROR(SPLIT(H17, "", "", FALSE, TRUE), )"),"All races")</f>
        <v>All races</v>
      </c>
      <c r="K17" s="5" t="str">
        <f>IFERROR(__xludf.DUMMYFUNCTION("""COMPUTED_VALUE"""),"both sexes")</f>
        <v>both sexes</v>
      </c>
      <c r="L17" s="5" t="str">
        <f>IFERROR(__xludf.DUMMYFUNCTION("""COMPUTED_VALUE"""),"all ages")</f>
        <v>all ages</v>
      </c>
      <c r="M17" s="11"/>
    </row>
    <row r="18">
      <c r="A18" s="11"/>
      <c r="B18" s="11">
        <v>15.0</v>
      </c>
      <c r="C18" s="7" t="s">
        <v>30</v>
      </c>
      <c r="D18" s="53">
        <v>18579.0</v>
      </c>
      <c r="E18" s="11">
        <v>0.7</v>
      </c>
      <c r="F18" s="11">
        <v>5.9</v>
      </c>
      <c r="G18" s="51" t="str">
        <f t="shared" si="1"/>
        <v>All races, both sexes, all ages</v>
      </c>
      <c r="H18" s="51" t="str">
        <f t="shared" si="2"/>
        <v>All races, both sexes, all ages</v>
      </c>
      <c r="I18" s="52"/>
      <c r="J18" s="5" t="str">
        <f>IFERROR(__xludf.DUMMYFUNCTION("IFERROR(SPLIT(H18, "", "", FALSE, TRUE), )"),"All races")</f>
        <v>All races</v>
      </c>
      <c r="K18" s="5" t="str">
        <f>IFERROR(__xludf.DUMMYFUNCTION("""COMPUTED_VALUE"""),"both sexes")</f>
        <v>both sexes</v>
      </c>
      <c r="L18" s="5" t="str">
        <f>IFERROR(__xludf.DUMMYFUNCTION("""COMPUTED_VALUE"""),"all ages")</f>
        <v>all ages</v>
      </c>
      <c r="M18" s="7"/>
    </row>
    <row r="19">
      <c r="A19" s="7"/>
      <c r="B19" s="7" t="s">
        <v>12</v>
      </c>
      <c r="C19" s="7" t="s">
        <v>31</v>
      </c>
      <c r="D19" s="53">
        <v>537554.0</v>
      </c>
      <c r="E19" s="11">
        <v>20.7</v>
      </c>
      <c r="F19" s="11">
        <v>170.0</v>
      </c>
      <c r="G19" s="51" t="str">
        <f t="shared" si="1"/>
        <v>All races, both sexes, all ages</v>
      </c>
      <c r="H19" s="51" t="str">
        <f t="shared" si="2"/>
        <v>All races, both sexes, all ages</v>
      </c>
      <c r="I19" s="52"/>
      <c r="J19" s="5" t="str">
        <f>IFERROR(__xludf.DUMMYFUNCTION("IFERROR(SPLIT(H19, "", "", FALSE, TRUE), )"),"All races")</f>
        <v>All races</v>
      </c>
      <c r="K19" s="5" t="str">
        <f>IFERROR(__xludf.DUMMYFUNCTION("""COMPUTED_VALUE"""),"both sexes")</f>
        <v>both sexes</v>
      </c>
      <c r="L19" s="5" t="str">
        <f>IFERROR(__xludf.DUMMYFUNCTION("""COMPUTED_VALUE"""),"all ages")</f>
        <v>all ages</v>
      </c>
      <c r="M19" s="11"/>
    </row>
    <row r="20">
      <c r="A20" s="49" t="s">
        <v>89</v>
      </c>
      <c r="B20" s="49" t="s">
        <v>92</v>
      </c>
      <c r="G20" s="51" t="str">
        <f t="shared" si="1"/>
        <v>All races, both sexes, all ages</v>
      </c>
      <c r="H20" s="51" t="str">
        <f t="shared" si="2"/>
        <v/>
      </c>
      <c r="I20" s="52"/>
      <c r="J20" s="5" t="str">
        <f>IFERROR(__xludf.DUMMYFUNCTION("IFERROR(SPLIT(H20, "", "", FALSE, TRUE), )"),"")</f>
        <v/>
      </c>
    </row>
    <row r="21">
      <c r="A21" s="3"/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51" t="str">
        <f t="shared" si="1"/>
        <v>All races, both sexes, 1-4 years</v>
      </c>
      <c r="H21" s="51" t="str">
        <f t="shared" si="2"/>
        <v/>
      </c>
      <c r="I21" s="52"/>
      <c r="J21" s="5" t="str">
        <f>IFERROR(__xludf.DUMMYFUNCTION("IFERROR(SPLIT(H21, "", "", FALSE, TRUE), )"),"")</f>
        <v/>
      </c>
    </row>
    <row r="22">
      <c r="A22" s="7"/>
      <c r="B22" s="7" t="s">
        <v>12</v>
      </c>
      <c r="C22" s="7" t="s">
        <v>13</v>
      </c>
      <c r="D22" s="53">
        <v>4068.0</v>
      </c>
      <c r="E22" s="11">
        <v>100.0</v>
      </c>
      <c r="F22" s="11">
        <v>25.5</v>
      </c>
      <c r="G22" s="51" t="str">
        <f t="shared" si="1"/>
        <v>All races, both sexes, 1-4 years</v>
      </c>
      <c r="H22" s="51" t="str">
        <f t="shared" si="2"/>
        <v>All races, both sexes, 1-4 years</v>
      </c>
      <c r="I22" s="52"/>
      <c r="J22" s="5" t="str">
        <f>IFERROR(__xludf.DUMMYFUNCTION("IFERROR(SPLIT(H22, "", "", FALSE, TRUE), )"),"All races")</f>
        <v>All races</v>
      </c>
      <c r="K22" s="5" t="str">
        <f>IFERROR(__xludf.DUMMYFUNCTION("""COMPUTED_VALUE"""),"both sexes")</f>
        <v>both sexes</v>
      </c>
      <c r="L22" s="5" t="str">
        <f>IFERROR(__xludf.DUMMYFUNCTION("""COMPUTED_VALUE"""),"1-4 years")</f>
        <v>1-4 years</v>
      </c>
    </row>
    <row r="23">
      <c r="A23" s="11"/>
      <c r="B23" s="11">
        <v>1.0</v>
      </c>
      <c r="C23" s="7" t="s">
        <v>19</v>
      </c>
      <c r="D23" s="53">
        <v>1316.0</v>
      </c>
      <c r="E23" s="11">
        <v>32.4</v>
      </c>
      <c r="F23" s="11">
        <v>8.3</v>
      </c>
      <c r="G23" s="51" t="str">
        <f t="shared" si="1"/>
        <v>All races, both sexes, 1-4 years</v>
      </c>
      <c r="H23" s="51" t="str">
        <f t="shared" si="2"/>
        <v>All races, both sexes, 1-4 years</v>
      </c>
      <c r="I23" s="52"/>
      <c r="J23" s="5" t="str">
        <f>IFERROR(__xludf.DUMMYFUNCTION("IFERROR(SPLIT(H23, "", "", FALSE, TRUE), )"),"All races")</f>
        <v>All races</v>
      </c>
      <c r="K23" s="5" t="str">
        <f>IFERROR(__xludf.DUMMYFUNCTION("""COMPUTED_VALUE"""),"both sexes")</f>
        <v>both sexes</v>
      </c>
      <c r="L23" s="5" t="str">
        <f>IFERROR(__xludf.DUMMYFUNCTION("""COMPUTED_VALUE"""),"1-4 years")</f>
        <v>1-4 years</v>
      </c>
    </row>
    <row r="24">
      <c r="A24" s="11"/>
      <c r="B24" s="11">
        <v>2.0</v>
      </c>
      <c r="C24" s="7" t="s">
        <v>33</v>
      </c>
      <c r="D24" s="11">
        <v>476.0</v>
      </c>
      <c r="E24" s="11">
        <v>11.7</v>
      </c>
      <c r="F24" s="11">
        <v>3.0</v>
      </c>
      <c r="G24" s="51" t="str">
        <f t="shared" si="1"/>
        <v>All races, both sexes, 1-4 years</v>
      </c>
      <c r="H24" s="51" t="str">
        <f t="shared" si="2"/>
        <v>All races, both sexes, 1-4 years</v>
      </c>
      <c r="I24" s="52"/>
      <c r="J24" s="5" t="str">
        <f>IFERROR(__xludf.DUMMYFUNCTION("IFERROR(SPLIT(H24, "", "", FALSE, TRUE), )"),"All races")</f>
        <v>All races</v>
      </c>
      <c r="K24" s="5" t="str">
        <f>IFERROR(__xludf.DUMMYFUNCTION("""COMPUTED_VALUE"""),"both sexes")</f>
        <v>both sexes</v>
      </c>
      <c r="L24" s="5" t="str">
        <f>IFERROR(__xludf.DUMMYFUNCTION("""COMPUTED_VALUE"""),"1-4 years")</f>
        <v>1-4 years</v>
      </c>
    </row>
    <row r="25">
      <c r="A25" s="11"/>
      <c r="B25" s="11">
        <v>3.0</v>
      </c>
      <c r="C25" s="7" t="s">
        <v>34</v>
      </c>
      <c r="D25" s="11">
        <v>337.0</v>
      </c>
      <c r="E25" s="11">
        <v>8.3</v>
      </c>
      <c r="F25" s="11">
        <v>2.1</v>
      </c>
      <c r="G25" s="51" t="str">
        <f t="shared" si="1"/>
        <v>All races, both sexes, 1-4 years</v>
      </c>
      <c r="H25" s="51" t="str">
        <f t="shared" si="2"/>
        <v>All races, both sexes, 1-4 years</v>
      </c>
      <c r="I25" s="52"/>
      <c r="J25" s="5" t="str">
        <f>IFERROR(__xludf.DUMMYFUNCTION("IFERROR(SPLIT(H25, "", "", FALSE, TRUE), )"),"All races")</f>
        <v>All races</v>
      </c>
      <c r="K25" s="5" t="str">
        <f>IFERROR(__xludf.DUMMYFUNCTION("""COMPUTED_VALUE"""),"both sexes")</f>
        <v>both sexes</v>
      </c>
      <c r="L25" s="5" t="str">
        <f>IFERROR(__xludf.DUMMYFUNCTION("""COMPUTED_VALUE"""),"1-4 years")</f>
        <v>1-4 years</v>
      </c>
    </row>
    <row r="26">
      <c r="A26" s="11"/>
      <c r="B26" s="11">
        <v>4.0</v>
      </c>
      <c r="C26" s="7" t="s">
        <v>17</v>
      </c>
      <c r="D26" s="11">
        <v>328.0</v>
      </c>
      <c r="E26" s="11">
        <v>8.1</v>
      </c>
      <c r="F26" s="11">
        <v>2.1</v>
      </c>
      <c r="G26" s="51" t="str">
        <f t="shared" si="1"/>
        <v>All races, both sexes, 1-4 years</v>
      </c>
      <c r="H26" s="51" t="str">
        <f t="shared" si="2"/>
        <v>All races, both sexes, 1-4 years</v>
      </c>
      <c r="I26" s="52"/>
      <c r="J26" s="5" t="str">
        <f>IFERROR(__xludf.DUMMYFUNCTION("IFERROR(SPLIT(H26, "", "", FALSE, TRUE), )"),"All races")</f>
        <v>All races</v>
      </c>
      <c r="K26" s="5" t="str">
        <f>IFERROR(__xludf.DUMMYFUNCTION("""COMPUTED_VALUE"""),"both sexes")</f>
        <v>both sexes</v>
      </c>
      <c r="L26" s="5" t="str">
        <f>IFERROR(__xludf.DUMMYFUNCTION("""COMPUTED_VALUE"""),"1-4 years")</f>
        <v>1-4 years</v>
      </c>
    </row>
    <row r="27">
      <c r="A27" s="11"/>
      <c r="B27" s="11">
        <v>5.0</v>
      </c>
      <c r="C27" s="7" t="s">
        <v>16</v>
      </c>
      <c r="D27" s="11">
        <v>169.0</v>
      </c>
      <c r="E27" s="11">
        <v>4.2</v>
      </c>
      <c r="F27" s="11">
        <v>1.1</v>
      </c>
      <c r="G27" s="51" t="str">
        <f t="shared" si="1"/>
        <v>All races, both sexes, 1-4 years</v>
      </c>
      <c r="H27" s="51" t="str">
        <f t="shared" si="2"/>
        <v>All races, both sexes, 1-4 years</v>
      </c>
      <c r="I27" s="52"/>
      <c r="J27" s="5" t="str">
        <f>IFERROR(__xludf.DUMMYFUNCTION("IFERROR(SPLIT(H27, "", "", FALSE, TRUE), )"),"All races")</f>
        <v>All races</v>
      </c>
      <c r="K27" s="5" t="str">
        <f>IFERROR(__xludf.DUMMYFUNCTION("""COMPUTED_VALUE"""),"both sexes")</f>
        <v>both sexes</v>
      </c>
      <c r="L27" s="5" t="str">
        <f>IFERROR(__xludf.DUMMYFUNCTION("""COMPUTED_VALUE"""),"1-4 years")</f>
        <v>1-4 years</v>
      </c>
    </row>
    <row r="28">
      <c r="A28" s="11"/>
      <c r="B28" s="11">
        <v>6.0</v>
      </c>
      <c r="C28" s="7" t="s">
        <v>23</v>
      </c>
      <c r="D28" s="11">
        <v>102.0</v>
      </c>
      <c r="E28" s="11">
        <v>2.5</v>
      </c>
      <c r="F28" s="11">
        <v>0.6</v>
      </c>
      <c r="G28" s="51" t="str">
        <f t="shared" si="1"/>
        <v>All races, both sexes, 1-4 years</v>
      </c>
      <c r="H28" s="51" t="str">
        <f t="shared" si="2"/>
        <v>All races, both sexes, 1-4 years</v>
      </c>
      <c r="I28" s="52"/>
      <c r="J28" s="5" t="str">
        <f>IFERROR(__xludf.DUMMYFUNCTION("IFERROR(SPLIT(H28, "", "", FALSE, TRUE), )"),"All races")</f>
        <v>All races</v>
      </c>
      <c r="K28" s="5" t="str">
        <f>IFERROR(__xludf.DUMMYFUNCTION("""COMPUTED_VALUE"""),"both sexes")</f>
        <v>both sexes</v>
      </c>
      <c r="L28" s="5" t="str">
        <f>IFERROR(__xludf.DUMMYFUNCTION("""COMPUTED_VALUE"""),"1-4 years")</f>
        <v>1-4 years</v>
      </c>
    </row>
    <row r="29">
      <c r="A29" s="11"/>
      <c r="B29" s="11">
        <v>7.0</v>
      </c>
      <c r="C29" s="7" t="s">
        <v>18</v>
      </c>
      <c r="D29" s="11">
        <v>64.0</v>
      </c>
      <c r="E29" s="11">
        <v>1.6</v>
      </c>
      <c r="F29" s="11">
        <v>0.4</v>
      </c>
      <c r="G29" s="51" t="str">
        <f t="shared" si="1"/>
        <v>All races, both sexes, 1-4 years</v>
      </c>
      <c r="H29" s="51" t="str">
        <f t="shared" si="2"/>
        <v>All races, both sexes, 1-4 years</v>
      </c>
      <c r="I29" s="52"/>
      <c r="J29" s="5" t="str">
        <f>IFERROR(__xludf.DUMMYFUNCTION("IFERROR(SPLIT(H29, "", "", FALSE, TRUE), )"),"All races")</f>
        <v>All races</v>
      </c>
      <c r="K29" s="5" t="str">
        <f>IFERROR(__xludf.DUMMYFUNCTION("""COMPUTED_VALUE"""),"both sexes")</f>
        <v>both sexes</v>
      </c>
      <c r="L29" s="5" t="str">
        <f>IFERROR(__xludf.DUMMYFUNCTION("""COMPUTED_VALUE"""),"1-4 years")</f>
        <v>1-4 years</v>
      </c>
    </row>
    <row r="30">
      <c r="A30" s="11"/>
      <c r="B30" s="11">
        <v>8.0</v>
      </c>
      <c r="C30" s="7" t="s">
        <v>26</v>
      </c>
      <c r="D30" s="11">
        <v>53.0</v>
      </c>
      <c r="E30" s="11">
        <v>1.3</v>
      </c>
      <c r="F30" s="11">
        <v>0.3</v>
      </c>
      <c r="G30" s="51" t="str">
        <f t="shared" si="1"/>
        <v>All races, both sexes, 1-4 years</v>
      </c>
      <c r="H30" s="51" t="str">
        <f t="shared" si="2"/>
        <v>All races, both sexes, 1-4 years</v>
      </c>
      <c r="I30" s="52"/>
      <c r="J30" s="5" t="str">
        <f>IFERROR(__xludf.DUMMYFUNCTION("IFERROR(SPLIT(H30, "", "", FALSE, TRUE), )"),"All races")</f>
        <v>All races</v>
      </c>
      <c r="K30" s="5" t="str">
        <f>IFERROR(__xludf.DUMMYFUNCTION("""COMPUTED_VALUE"""),"both sexes")</f>
        <v>both sexes</v>
      </c>
      <c r="L30" s="5" t="str">
        <f>IFERROR(__xludf.DUMMYFUNCTION("""COMPUTED_VALUE"""),"1-4 years")</f>
        <v>1-4 years</v>
      </c>
    </row>
    <row r="31">
      <c r="A31" s="11"/>
      <c r="B31" s="11">
        <v>9.0</v>
      </c>
      <c r="C31" s="7" t="s">
        <v>35</v>
      </c>
      <c r="D31" s="11">
        <v>47.0</v>
      </c>
      <c r="E31" s="11">
        <v>1.2</v>
      </c>
      <c r="F31" s="11">
        <v>0.3</v>
      </c>
      <c r="G31" s="51" t="str">
        <f t="shared" si="1"/>
        <v>All races, both sexes, 1-4 years</v>
      </c>
      <c r="H31" s="51" t="str">
        <f t="shared" si="2"/>
        <v>All races, both sexes, 1-4 years</v>
      </c>
      <c r="I31" s="52"/>
      <c r="J31" s="5" t="str">
        <f>IFERROR(__xludf.DUMMYFUNCTION("IFERROR(SPLIT(H31, "", "", FALSE, TRUE), )"),"All races")</f>
        <v>All races</v>
      </c>
      <c r="K31" s="5" t="str">
        <f>IFERROR(__xludf.DUMMYFUNCTION("""COMPUTED_VALUE"""),"both sexes")</f>
        <v>both sexes</v>
      </c>
      <c r="L31" s="5" t="str">
        <f>IFERROR(__xludf.DUMMYFUNCTION("""COMPUTED_VALUE"""),"1-4 years")</f>
        <v>1-4 years</v>
      </c>
    </row>
    <row r="32">
      <c r="A32" s="11"/>
      <c r="B32" s="11">
        <v>10.0</v>
      </c>
      <c r="C32" s="7" t="s">
        <v>36</v>
      </c>
      <c r="D32" s="11">
        <v>45.0</v>
      </c>
      <c r="E32" s="11">
        <v>1.1</v>
      </c>
      <c r="F32" s="11">
        <v>0.3</v>
      </c>
      <c r="G32" s="51" t="str">
        <f t="shared" si="1"/>
        <v>All races, both sexes, 1-4 years</v>
      </c>
      <c r="H32" s="51" t="str">
        <f t="shared" si="2"/>
        <v>All races, both sexes, 1-4 years</v>
      </c>
      <c r="I32" s="52"/>
      <c r="J32" s="5" t="str">
        <f>IFERROR(__xludf.DUMMYFUNCTION("IFERROR(SPLIT(H32, "", "", FALSE, TRUE), )"),"All races")</f>
        <v>All races</v>
      </c>
      <c r="K32" s="5" t="str">
        <f>IFERROR(__xludf.DUMMYFUNCTION("""COMPUTED_VALUE"""),"both sexes")</f>
        <v>both sexes</v>
      </c>
      <c r="L32" s="5" t="str">
        <f>IFERROR(__xludf.DUMMYFUNCTION("""COMPUTED_VALUE"""),"1-4 years")</f>
        <v>1-4 years</v>
      </c>
    </row>
    <row r="33">
      <c r="A33" s="11"/>
      <c r="B33" s="11">
        <v>11.0</v>
      </c>
      <c r="C33" s="7" t="s">
        <v>20</v>
      </c>
      <c r="D33" s="11">
        <v>38.0</v>
      </c>
      <c r="E33" s="11">
        <v>0.9</v>
      </c>
      <c r="F33" s="11">
        <v>0.2</v>
      </c>
      <c r="G33" s="51" t="str">
        <f t="shared" si="1"/>
        <v>All races, both sexes, 1-4 years</v>
      </c>
      <c r="H33" s="51" t="str">
        <f t="shared" si="2"/>
        <v>All races, both sexes, 1-4 years</v>
      </c>
      <c r="I33" s="52"/>
      <c r="J33" s="5" t="str">
        <f>IFERROR(__xludf.DUMMYFUNCTION("IFERROR(SPLIT(H33, "", "", FALSE, TRUE), )"),"All races")</f>
        <v>All races</v>
      </c>
      <c r="K33" s="5" t="str">
        <f>IFERROR(__xludf.DUMMYFUNCTION("""COMPUTED_VALUE"""),"both sexes")</f>
        <v>both sexes</v>
      </c>
      <c r="L33" s="5" t="str">
        <f>IFERROR(__xludf.DUMMYFUNCTION("""COMPUTED_VALUE"""),"1-4 years")</f>
        <v>1-4 years</v>
      </c>
    </row>
    <row r="34">
      <c r="A34" s="11"/>
      <c r="B34" s="11">
        <v>12.0</v>
      </c>
      <c r="C34" s="7" t="s">
        <v>37</v>
      </c>
      <c r="D34" s="11">
        <v>23.0</v>
      </c>
      <c r="E34" s="11">
        <v>0.6</v>
      </c>
      <c r="F34" s="11">
        <v>0.1</v>
      </c>
      <c r="G34" s="51" t="str">
        <f t="shared" si="1"/>
        <v>All races, both sexes, 1-4 years</v>
      </c>
      <c r="H34" s="51" t="str">
        <f t="shared" si="2"/>
        <v>All races, both sexes, 1-4 years</v>
      </c>
      <c r="I34" s="52"/>
      <c r="J34" s="5" t="str">
        <f>IFERROR(__xludf.DUMMYFUNCTION("IFERROR(SPLIT(H34, "", "", FALSE, TRUE), )"),"All races")</f>
        <v>All races</v>
      </c>
      <c r="K34" s="5" t="str">
        <f>IFERROR(__xludf.DUMMYFUNCTION("""COMPUTED_VALUE"""),"both sexes")</f>
        <v>both sexes</v>
      </c>
      <c r="L34" s="5" t="str">
        <f>IFERROR(__xludf.DUMMYFUNCTION("""COMPUTED_VALUE"""),"1-4 years")</f>
        <v>1-4 years</v>
      </c>
    </row>
    <row r="35">
      <c r="A35" s="11"/>
      <c r="B35" s="11">
        <v>13.0</v>
      </c>
      <c r="C35" s="7" t="s">
        <v>38</v>
      </c>
      <c r="D35" s="11">
        <v>20.0</v>
      </c>
      <c r="E35" s="11">
        <v>0.5</v>
      </c>
      <c r="F35" s="11">
        <v>0.1</v>
      </c>
      <c r="G35" s="51" t="str">
        <f t="shared" si="1"/>
        <v>All races, both sexes, 1-4 years</v>
      </c>
      <c r="H35" s="51" t="str">
        <f t="shared" si="2"/>
        <v>All races, both sexes, 1-4 years</v>
      </c>
      <c r="I35" s="52"/>
      <c r="J35" s="5" t="str">
        <f>IFERROR(__xludf.DUMMYFUNCTION("IFERROR(SPLIT(H35, "", "", FALSE, TRUE), )"),"All races")</f>
        <v>All races</v>
      </c>
      <c r="K35" s="5" t="str">
        <f>IFERROR(__xludf.DUMMYFUNCTION("""COMPUTED_VALUE"""),"both sexes")</f>
        <v>both sexes</v>
      </c>
      <c r="L35" s="5" t="str">
        <f>IFERROR(__xludf.DUMMYFUNCTION("""COMPUTED_VALUE"""),"1-4 years")</f>
        <v>1-4 years</v>
      </c>
    </row>
    <row r="36">
      <c r="A36" s="11"/>
      <c r="B36" s="11">
        <v>14.0</v>
      </c>
      <c r="C36" s="7" t="s">
        <v>39</v>
      </c>
      <c r="D36" s="11">
        <v>15.0</v>
      </c>
      <c r="E36" s="11">
        <v>0.4</v>
      </c>
      <c r="F36" s="7" t="s">
        <v>93</v>
      </c>
      <c r="G36" s="51" t="str">
        <f t="shared" si="1"/>
        <v>All races, both sexes, 1-4 years</v>
      </c>
      <c r="H36" s="51" t="str">
        <f t="shared" si="2"/>
        <v>All races, both sexes, 1-4 years</v>
      </c>
      <c r="I36" s="52"/>
      <c r="J36" s="5" t="str">
        <f>IFERROR(__xludf.DUMMYFUNCTION("IFERROR(SPLIT(H36, "", "", FALSE, TRUE), )"),"All races")</f>
        <v>All races</v>
      </c>
      <c r="K36" s="5" t="str">
        <f>IFERROR(__xludf.DUMMYFUNCTION("""COMPUTED_VALUE"""),"both sexes")</f>
        <v>both sexes</v>
      </c>
      <c r="L36" s="5" t="str">
        <f>IFERROR(__xludf.DUMMYFUNCTION("""COMPUTED_VALUE"""),"1-4 years")</f>
        <v>1-4 years</v>
      </c>
    </row>
    <row r="37">
      <c r="A37" s="11"/>
      <c r="B37" s="11">
        <v>15.0</v>
      </c>
      <c r="C37" s="7" t="s">
        <v>40</v>
      </c>
      <c r="D37" s="11">
        <v>14.0</v>
      </c>
      <c r="E37" s="11">
        <v>0.3</v>
      </c>
      <c r="F37" s="7" t="s">
        <v>93</v>
      </c>
      <c r="G37" s="51" t="str">
        <f t="shared" si="1"/>
        <v>All races, both sexes, 1-4 years</v>
      </c>
      <c r="H37" s="51" t="str">
        <f t="shared" si="2"/>
        <v>All races, both sexes, 1-4 years</v>
      </c>
      <c r="I37" s="52"/>
      <c r="J37" s="5" t="str">
        <f>IFERROR(__xludf.DUMMYFUNCTION("IFERROR(SPLIT(H37, "", "", FALSE, TRUE), )"),"All races")</f>
        <v>All races</v>
      </c>
      <c r="K37" s="5" t="str">
        <f>IFERROR(__xludf.DUMMYFUNCTION("""COMPUTED_VALUE"""),"both sexes")</f>
        <v>both sexes</v>
      </c>
      <c r="L37" s="5" t="str">
        <f>IFERROR(__xludf.DUMMYFUNCTION("""COMPUTED_VALUE"""),"1-4 years")</f>
        <v>1-4 years</v>
      </c>
    </row>
    <row r="38">
      <c r="A38" s="7"/>
      <c r="B38" s="7" t="s">
        <v>12</v>
      </c>
      <c r="C38" s="7" t="s">
        <v>31</v>
      </c>
      <c r="D38" s="53">
        <v>1021.0</v>
      </c>
      <c r="E38" s="11">
        <v>25.1</v>
      </c>
      <c r="F38" s="11">
        <v>6.4</v>
      </c>
      <c r="G38" s="51" t="str">
        <f t="shared" si="1"/>
        <v>All races, both sexes, 1-4 years</v>
      </c>
      <c r="H38" s="51" t="str">
        <f t="shared" si="2"/>
        <v>All races, both sexes, 1-4 years</v>
      </c>
      <c r="I38" s="52"/>
      <c r="J38" s="5" t="str">
        <f>IFERROR(__xludf.DUMMYFUNCTION("IFERROR(SPLIT(H38, "", "", FALSE, TRUE), )"),"All races")</f>
        <v>All races</v>
      </c>
      <c r="K38" s="5" t="str">
        <f>IFERROR(__xludf.DUMMYFUNCTION("""COMPUTED_VALUE"""),"both sexes")</f>
        <v>both sexes</v>
      </c>
      <c r="L38" s="5" t="str">
        <f>IFERROR(__xludf.DUMMYFUNCTION("""COMPUTED_VALUE"""),"1-4 years")</f>
        <v>1-4 years</v>
      </c>
    </row>
    <row r="39">
      <c r="A39" s="49" t="s">
        <v>89</v>
      </c>
      <c r="B39" s="49" t="s">
        <v>94</v>
      </c>
      <c r="G39" s="51" t="str">
        <f t="shared" si="1"/>
        <v>All races, both sexes, 1-4 years</v>
      </c>
      <c r="H39" s="51" t="str">
        <f t="shared" si="2"/>
        <v/>
      </c>
      <c r="I39" s="52"/>
      <c r="J39" s="5" t="str">
        <f>IFERROR(__xludf.DUMMYFUNCTION("IFERROR(SPLIT(H39, "", "", FALSE, TRUE), )"),"")</f>
        <v/>
      </c>
    </row>
    <row r="40">
      <c r="A40" s="3"/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  <c r="G40" s="51" t="str">
        <f t="shared" si="1"/>
        <v>All races, both sexes, 5-14 years</v>
      </c>
      <c r="H40" s="51" t="str">
        <f t="shared" si="2"/>
        <v/>
      </c>
      <c r="I40" s="52"/>
      <c r="J40" s="5" t="str">
        <f>IFERROR(__xludf.DUMMYFUNCTION("IFERROR(SPLIT(H40, "", "", FALSE, TRUE), )"),"")</f>
        <v/>
      </c>
    </row>
    <row r="41">
      <c r="A41" s="7"/>
      <c r="B41" s="7" t="s">
        <v>12</v>
      </c>
      <c r="C41" s="7" t="s">
        <v>13</v>
      </c>
      <c r="D41" s="53">
        <v>5340.0</v>
      </c>
      <c r="E41" s="11">
        <v>100.0</v>
      </c>
      <c r="F41" s="11">
        <v>13.0</v>
      </c>
      <c r="G41" s="51" t="str">
        <f t="shared" si="1"/>
        <v>All races, both sexes, 5-14 years</v>
      </c>
      <c r="H41" s="51" t="str">
        <f t="shared" si="2"/>
        <v>All races, both sexes, 5-14 years</v>
      </c>
      <c r="I41" s="52"/>
      <c r="J41" s="5" t="str">
        <f>IFERROR(__xludf.DUMMYFUNCTION("IFERROR(SPLIT(H41, "", "", FALSE, TRUE), )"),"All races")</f>
        <v>All races</v>
      </c>
      <c r="K41" s="5" t="str">
        <f>IFERROR(__xludf.DUMMYFUNCTION("""COMPUTED_VALUE"""),"both sexes")</f>
        <v>both sexes</v>
      </c>
      <c r="L41" s="5" t="str">
        <f>IFERROR(__xludf.DUMMYFUNCTION("""COMPUTED_VALUE"""),"5-14 years")</f>
        <v>5-14 years</v>
      </c>
    </row>
    <row r="42">
      <c r="A42" s="11"/>
      <c r="B42" s="11">
        <v>1.0</v>
      </c>
      <c r="C42" s="7" t="s">
        <v>19</v>
      </c>
      <c r="D42" s="53">
        <v>1521.0</v>
      </c>
      <c r="E42" s="11">
        <v>28.5</v>
      </c>
      <c r="F42" s="11">
        <v>3.7</v>
      </c>
      <c r="G42" s="51" t="str">
        <f t="shared" si="1"/>
        <v>All races, both sexes, 5-14 years</v>
      </c>
      <c r="H42" s="51" t="str">
        <f t="shared" si="2"/>
        <v>All races, both sexes, 5-14 years</v>
      </c>
      <c r="I42" s="52"/>
      <c r="J42" s="5" t="str">
        <f>IFERROR(__xludf.DUMMYFUNCTION("IFERROR(SPLIT(H42, "", "", FALSE, TRUE), )"),"All races")</f>
        <v>All races</v>
      </c>
      <c r="K42" s="5" t="str">
        <f>IFERROR(__xludf.DUMMYFUNCTION("""COMPUTED_VALUE"""),"both sexes")</f>
        <v>both sexes</v>
      </c>
      <c r="L42" s="5" t="str">
        <f>IFERROR(__xludf.DUMMYFUNCTION("""COMPUTED_VALUE"""),"5-14 years")</f>
        <v>5-14 years</v>
      </c>
    </row>
    <row r="43">
      <c r="A43" s="11"/>
      <c r="B43" s="11">
        <v>2.0</v>
      </c>
      <c r="C43" s="7" t="s">
        <v>17</v>
      </c>
      <c r="D43" s="11">
        <v>895.0</v>
      </c>
      <c r="E43" s="11">
        <v>16.8</v>
      </c>
      <c r="F43" s="11">
        <v>2.2</v>
      </c>
      <c r="G43" s="51" t="str">
        <f t="shared" si="1"/>
        <v>All races, both sexes, 5-14 years</v>
      </c>
      <c r="H43" s="51" t="str">
        <f t="shared" si="2"/>
        <v>All races, both sexes, 5-14 years</v>
      </c>
      <c r="I43" s="52"/>
      <c r="J43" s="5" t="str">
        <f>IFERROR(__xludf.DUMMYFUNCTION("IFERROR(SPLIT(H43, "", "", FALSE, TRUE), )"),"All races")</f>
        <v>All races</v>
      </c>
      <c r="K43" s="5" t="str">
        <f>IFERROR(__xludf.DUMMYFUNCTION("""COMPUTED_VALUE"""),"both sexes")</f>
        <v>both sexes</v>
      </c>
      <c r="L43" s="5" t="str">
        <f>IFERROR(__xludf.DUMMYFUNCTION("""COMPUTED_VALUE"""),"5-14 years")</f>
        <v>5-14 years</v>
      </c>
    </row>
    <row r="44">
      <c r="A44" s="11"/>
      <c r="B44" s="11">
        <v>3.0</v>
      </c>
      <c r="C44" s="7" t="s">
        <v>25</v>
      </c>
      <c r="D44" s="11">
        <v>395.0</v>
      </c>
      <c r="E44" s="11">
        <v>7.4</v>
      </c>
      <c r="F44" s="11">
        <v>1.0</v>
      </c>
      <c r="G44" s="51" t="str">
        <f t="shared" si="1"/>
        <v>All races, both sexes, 5-14 years</v>
      </c>
      <c r="H44" s="51" t="str">
        <f t="shared" si="2"/>
        <v>All races, both sexes, 5-14 years</v>
      </c>
      <c r="I44" s="52"/>
      <c r="J44" s="5" t="str">
        <f>IFERROR(__xludf.DUMMYFUNCTION("IFERROR(SPLIT(H44, "", "", FALSE, TRUE), )"),"All races")</f>
        <v>All races</v>
      </c>
      <c r="K44" s="5" t="str">
        <f>IFERROR(__xludf.DUMMYFUNCTION("""COMPUTED_VALUE"""),"both sexes")</f>
        <v>both sexes</v>
      </c>
      <c r="L44" s="5" t="str">
        <f>IFERROR(__xludf.DUMMYFUNCTION("""COMPUTED_VALUE"""),"5-14 years")</f>
        <v>5-14 years</v>
      </c>
    </row>
    <row r="45">
      <c r="A45" s="11"/>
      <c r="B45" s="11">
        <v>4.0</v>
      </c>
      <c r="C45" s="7" t="s">
        <v>33</v>
      </c>
      <c r="D45" s="11">
        <v>340.0</v>
      </c>
      <c r="E45" s="11">
        <v>6.4</v>
      </c>
      <c r="F45" s="11">
        <v>0.8</v>
      </c>
      <c r="G45" s="51" t="str">
        <f t="shared" si="1"/>
        <v>All races, both sexes, 5-14 years</v>
      </c>
      <c r="H45" s="51" t="str">
        <f t="shared" si="2"/>
        <v>All races, both sexes, 5-14 years</v>
      </c>
      <c r="I45" s="52"/>
      <c r="J45" s="5" t="str">
        <f>IFERROR(__xludf.DUMMYFUNCTION("IFERROR(SPLIT(H45, "", "", FALSE, TRUE), )"),"All races")</f>
        <v>All races</v>
      </c>
      <c r="K45" s="5" t="str">
        <f>IFERROR(__xludf.DUMMYFUNCTION("""COMPUTED_VALUE"""),"both sexes")</f>
        <v>both sexes</v>
      </c>
      <c r="L45" s="5" t="str">
        <f>IFERROR(__xludf.DUMMYFUNCTION("""COMPUTED_VALUE"""),"5-14 years")</f>
        <v>5-14 years</v>
      </c>
    </row>
    <row r="46">
      <c r="A46" s="11"/>
      <c r="B46" s="11">
        <v>5.0</v>
      </c>
      <c r="C46" s="7" t="s">
        <v>34</v>
      </c>
      <c r="D46" s="11">
        <v>277.0</v>
      </c>
      <c r="E46" s="11">
        <v>5.2</v>
      </c>
      <c r="F46" s="11">
        <v>0.7</v>
      </c>
      <c r="G46" s="51" t="str">
        <f t="shared" si="1"/>
        <v>All races, both sexes, 5-14 years</v>
      </c>
      <c r="H46" s="51" t="str">
        <f t="shared" si="2"/>
        <v>All races, both sexes, 5-14 years</v>
      </c>
      <c r="I46" s="52"/>
      <c r="J46" s="5" t="str">
        <f>IFERROR(__xludf.DUMMYFUNCTION("IFERROR(SPLIT(H46, "", "", FALSE, TRUE), )"),"All races")</f>
        <v>All races</v>
      </c>
      <c r="K46" s="5" t="str">
        <f>IFERROR(__xludf.DUMMYFUNCTION("""COMPUTED_VALUE"""),"both sexes")</f>
        <v>both sexes</v>
      </c>
      <c r="L46" s="5" t="str">
        <f>IFERROR(__xludf.DUMMYFUNCTION("""COMPUTED_VALUE"""),"5-14 years")</f>
        <v>5-14 years</v>
      </c>
    </row>
    <row r="47">
      <c r="A47" s="11"/>
      <c r="B47" s="11">
        <v>6.0</v>
      </c>
      <c r="C47" s="7" t="s">
        <v>16</v>
      </c>
      <c r="D47" s="11">
        <v>173.0</v>
      </c>
      <c r="E47" s="11">
        <v>3.2</v>
      </c>
      <c r="F47" s="11">
        <v>0.4</v>
      </c>
      <c r="G47" s="51" t="str">
        <f t="shared" si="1"/>
        <v>All races, both sexes, 5-14 years</v>
      </c>
      <c r="H47" s="51" t="str">
        <f t="shared" si="2"/>
        <v>All races, both sexes, 5-14 years</v>
      </c>
      <c r="I47" s="52"/>
      <c r="J47" s="5" t="str">
        <f>IFERROR(__xludf.DUMMYFUNCTION("IFERROR(SPLIT(H47, "", "", FALSE, TRUE), )"),"All races")</f>
        <v>All races</v>
      </c>
      <c r="K47" s="5" t="str">
        <f>IFERROR(__xludf.DUMMYFUNCTION("""COMPUTED_VALUE"""),"both sexes")</f>
        <v>both sexes</v>
      </c>
      <c r="L47" s="5" t="str">
        <f>IFERROR(__xludf.DUMMYFUNCTION("""COMPUTED_VALUE"""),"5-14 years")</f>
        <v>5-14 years</v>
      </c>
    </row>
    <row r="48">
      <c r="A48" s="11"/>
      <c r="B48" s="11">
        <v>7.0</v>
      </c>
      <c r="C48" s="7" t="s">
        <v>18</v>
      </c>
      <c r="D48" s="11">
        <v>155.0</v>
      </c>
      <c r="E48" s="11">
        <v>2.9</v>
      </c>
      <c r="F48" s="11">
        <v>0.4</v>
      </c>
      <c r="G48" s="51" t="str">
        <f t="shared" si="1"/>
        <v>All races, both sexes, 5-14 years</v>
      </c>
      <c r="H48" s="51" t="str">
        <f t="shared" si="2"/>
        <v>All races, both sexes, 5-14 years</v>
      </c>
      <c r="I48" s="52"/>
      <c r="J48" s="5" t="str">
        <f>IFERROR(__xludf.DUMMYFUNCTION("IFERROR(SPLIT(H48, "", "", FALSE, TRUE), )"),"All races")</f>
        <v>All races</v>
      </c>
      <c r="K48" s="5" t="str">
        <f>IFERROR(__xludf.DUMMYFUNCTION("""COMPUTED_VALUE"""),"both sexes")</f>
        <v>both sexes</v>
      </c>
      <c r="L48" s="5" t="str">
        <f>IFERROR(__xludf.DUMMYFUNCTION("""COMPUTED_VALUE"""),"5-14 years")</f>
        <v>5-14 years</v>
      </c>
    </row>
    <row r="49">
      <c r="A49" s="11"/>
      <c r="B49" s="11">
        <v>8.0</v>
      </c>
      <c r="C49" s="7" t="s">
        <v>23</v>
      </c>
      <c r="D49" s="11">
        <v>128.0</v>
      </c>
      <c r="E49" s="11">
        <v>2.4</v>
      </c>
      <c r="F49" s="11">
        <v>0.3</v>
      </c>
      <c r="G49" s="51" t="str">
        <f t="shared" si="1"/>
        <v>All races, both sexes, 5-14 years</v>
      </c>
      <c r="H49" s="51" t="str">
        <f t="shared" si="2"/>
        <v>All races, both sexes, 5-14 years</v>
      </c>
      <c r="I49" s="52"/>
      <c r="J49" s="5" t="str">
        <f>IFERROR(__xludf.DUMMYFUNCTION("IFERROR(SPLIT(H49, "", "", FALSE, TRUE), )"),"All races")</f>
        <v>All races</v>
      </c>
      <c r="K49" s="5" t="str">
        <f>IFERROR(__xludf.DUMMYFUNCTION("""COMPUTED_VALUE"""),"both sexes")</f>
        <v>both sexes</v>
      </c>
      <c r="L49" s="5" t="str">
        <f>IFERROR(__xludf.DUMMYFUNCTION("""COMPUTED_VALUE"""),"5-14 years")</f>
        <v>5-14 years</v>
      </c>
    </row>
    <row r="50">
      <c r="A50" s="11"/>
      <c r="B50" s="11">
        <v>9.0</v>
      </c>
      <c r="C50" s="7" t="s">
        <v>20</v>
      </c>
      <c r="D50" s="11">
        <v>89.0</v>
      </c>
      <c r="E50" s="11">
        <v>1.7</v>
      </c>
      <c r="F50" s="11">
        <v>0.2</v>
      </c>
      <c r="G50" s="51" t="str">
        <f t="shared" si="1"/>
        <v>All races, both sexes, 5-14 years</v>
      </c>
      <c r="H50" s="51" t="str">
        <f t="shared" si="2"/>
        <v>All races, both sexes, 5-14 years</v>
      </c>
      <c r="I50" s="52"/>
      <c r="J50" s="5" t="str">
        <f>IFERROR(__xludf.DUMMYFUNCTION("IFERROR(SPLIT(H50, "", "", FALSE, TRUE), )"),"All races")</f>
        <v>All races</v>
      </c>
      <c r="K50" s="5" t="str">
        <f>IFERROR(__xludf.DUMMYFUNCTION("""COMPUTED_VALUE"""),"both sexes")</f>
        <v>both sexes</v>
      </c>
      <c r="L50" s="5" t="str">
        <f>IFERROR(__xludf.DUMMYFUNCTION("""COMPUTED_VALUE"""),"5-14 years")</f>
        <v>5-14 years</v>
      </c>
    </row>
    <row r="51">
      <c r="A51" s="11"/>
      <c r="B51" s="11">
        <v>10.0</v>
      </c>
      <c r="C51" s="7" t="s">
        <v>35</v>
      </c>
      <c r="D51" s="11">
        <v>65.0</v>
      </c>
      <c r="E51" s="11">
        <v>1.2</v>
      </c>
      <c r="F51" s="11">
        <v>0.2</v>
      </c>
      <c r="G51" s="51" t="str">
        <f t="shared" si="1"/>
        <v>All races, both sexes, 5-14 years</v>
      </c>
      <c r="H51" s="51" t="str">
        <f t="shared" si="2"/>
        <v>All races, both sexes, 5-14 years</v>
      </c>
      <c r="I51" s="52"/>
      <c r="J51" s="5" t="str">
        <f>IFERROR(__xludf.DUMMYFUNCTION("IFERROR(SPLIT(H51, "", "", FALSE, TRUE), )"),"All races")</f>
        <v>All races</v>
      </c>
      <c r="K51" s="5" t="str">
        <f>IFERROR(__xludf.DUMMYFUNCTION("""COMPUTED_VALUE"""),"both sexes")</f>
        <v>both sexes</v>
      </c>
      <c r="L51" s="5" t="str">
        <f>IFERROR(__xludf.DUMMYFUNCTION("""COMPUTED_VALUE"""),"5-14 years")</f>
        <v>5-14 years</v>
      </c>
    </row>
    <row r="52">
      <c r="A52" s="11"/>
      <c r="B52" s="11">
        <v>11.0</v>
      </c>
      <c r="C52" s="7" t="s">
        <v>26</v>
      </c>
      <c r="D52" s="11">
        <v>55.0</v>
      </c>
      <c r="E52" s="11">
        <v>1.0</v>
      </c>
      <c r="F52" s="11">
        <v>0.1</v>
      </c>
      <c r="G52" s="51" t="str">
        <f t="shared" si="1"/>
        <v>All races, both sexes, 5-14 years</v>
      </c>
      <c r="H52" s="51" t="str">
        <f t="shared" si="2"/>
        <v>All races, both sexes, 5-14 years</v>
      </c>
      <c r="I52" s="52"/>
      <c r="J52" s="5" t="str">
        <f>IFERROR(__xludf.DUMMYFUNCTION("IFERROR(SPLIT(H52, "", "", FALSE, TRUE), )"),"All races")</f>
        <v>All races</v>
      </c>
      <c r="K52" s="5" t="str">
        <f>IFERROR(__xludf.DUMMYFUNCTION("""COMPUTED_VALUE"""),"both sexes")</f>
        <v>both sexes</v>
      </c>
      <c r="L52" s="5" t="str">
        <f>IFERROR(__xludf.DUMMYFUNCTION("""COMPUTED_VALUE"""),"5-14 years")</f>
        <v>5-14 years</v>
      </c>
    </row>
    <row r="53">
      <c r="A53" s="11"/>
      <c r="B53" s="11">
        <v>12.0</v>
      </c>
      <c r="C53" s="7" t="s">
        <v>36</v>
      </c>
      <c r="D53" s="11">
        <v>33.0</v>
      </c>
      <c r="E53" s="11">
        <v>0.6</v>
      </c>
      <c r="F53" s="11">
        <v>0.1</v>
      </c>
      <c r="G53" s="51" t="str">
        <f t="shared" si="1"/>
        <v>All races, both sexes, 5-14 years</v>
      </c>
      <c r="H53" s="51" t="str">
        <f t="shared" si="2"/>
        <v>All races, both sexes, 5-14 years</v>
      </c>
      <c r="I53" s="52"/>
      <c r="J53" s="5" t="str">
        <f>IFERROR(__xludf.DUMMYFUNCTION("IFERROR(SPLIT(H53, "", "", FALSE, TRUE), )"),"All races")</f>
        <v>All races</v>
      </c>
      <c r="K53" s="5" t="str">
        <f>IFERROR(__xludf.DUMMYFUNCTION("""COMPUTED_VALUE"""),"both sexes")</f>
        <v>both sexes</v>
      </c>
      <c r="L53" s="5" t="str">
        <f>IFERROR(__xludf.DUMMYFUNCTION("""COMPUTED_VALUE"""),"5-14 years")</f>
        <v>5-14 years</v>
      </c>
    </row>
    <row r="54">
      <c r="A54" s="11"/>
      <c r="B54" s="11">
        <v>13.0</v>
      </c>
      <c r="C54" s="7" t="s">
        <v>39</v>
      </c>
      <c r="D54" s="11">
        <v>26.0</v>
      </c>
      <c r="E54" s="11">
        <v>0.5</v>
      </c>
      <c r="F54" s="11">
        <v>0.1</v>
      </c>
      <c r="G54" s="51" t="str">
        <f t="shared" si="1"/>
        <v>All races, both sexes, 5-14 years</v>
      </c>
      <c r="H54" s="51" t="str">
        <f t="shared" si="2"/>
        <v>All races, both sexes, 5-14 years</v>
      </c>
      <c r="I54" s="52"/>
      <c r="J54" s="5" t="str">
        <f>IFERROR(__xludf.DUMMYFUNCTION("IFERROR(SPLIT(H54, "", "", FALSE, TRUE), )"),"All races")</f>
        <v>All races</v>
      </c>
      <c r="K54" s="5" t="str">
        <f>IFERROR(__xludf.DUMMYFUNCTION("""COMPUTED_VALUE"""),"both sexes")</f>
        <v>both sexes</v>
      </c>
      <c r="L54" s="5" t="str">
        <f>IFERROR(__xludf.DUMMYFUNCTION("""COMPUTED_VALUE"""),"5-14 years")</f>
        <v>5-14 years</v>
      </c>
    </row>
    <row r="55">
      <c r="A55" s="11"/>
      <c r="B55" s="11">
        <v>14.0</v>
      </c>
      <c r="C55" s="7" t="s">
        <v>22</v>
      </c>
      <c r="D55" s="11">
        <v>24.0</v>
      </c>
      <c r="E55" s="11">
        <v>0.4</v>
      </c>
      <c r="F55" s="11">
        <v>0.1</v>
      </c>
      <c r="G55" s="51" t="str">
        <f t="shared" si="1"/>
        <v>All races, both sexes, 5-14 years</v>
      </c>
      <c r="H55" s="51" t="str">
        <f t="shared" si="2"/>
        <v>All races, both sexes, 5-14 years</v>
      </c>
      <c r="I55" s="52"/>
      <c r="J55" s="5" t="str">
        <f>IFERROR(__xludf.DUMMYFUNCTION("IFERROR(SPLIT(H55, "", "", FALSE, TRUE), )"),"All races")</f>
        <v>All races</v>
      </c>
      <c r="K55" s="5" t="str">
        <f>IFERROR(__xludf.DUMMYFUNCTION("""COMPUTED_VALUE"""),"both sexes")</f>
        <v>both sexes</v>
      </c>
      <c r="L55" s="5" t="str">
        <f>IFERROR(__xludf.DUMMYFUNCTION("""COMPUTED_VALUE"""),"5-14 years")</f>
        <v>5-14 years</v>
      </c>
    </row>
    <row r="56">
      <c r="A56" s="11"/>
      <c r="B56" s="11">
        <v>15.0</v>
      </c>
      <c r="C56" s="7" t="s">
        <v>38</v>
      </c>
      <c r="D56" s="11">
        <v>17.0</v>
      </c>
      <c r="E56" s="11">
        <v>0.3</v>
      </c>
      <c r="F56" s="7" t="s">
        <v>93</v>
      </c>
      <c r="G56" s="51" t="str">
        <f t="shared" si="1"/>
        <v>All races, both sexes, 5-14 years</v>
      </c>
      <c r="H56" s="51" t="str">
        <f t="shared" si="2"/>
        <v>All races, both sexes, 5-14 years</v>
      </c>
      <c r="I56" s="52"/>
      <c r="J56" s="5" t="str">
        <f>IFERROR(__xludf.DUMMYFUNCTION("IFERROR(SPLIT(H56, "", "", FALSE, TRUE), )"),"All races")</f>
        <v>All races</v>
      </c>
      <c r="K56" s="5" t="str">
        <f>IFERROR(__xludf.DUMMYFUNCTION("""COMPUTED_VALUE"""),"both sexes")</f>
        <v>both sexes</v>
      </c>
      <c r="L56" s="5" t="str">
        <f>IFERROR(__xludf.DUMMYFUNCTION("""COMPUTED_VALUE"""),"5-14 years")</f>
        <v>5-14 years</v>
      </c>
    </row>
    <row r="57">
      <c r="A57" s="7"/>
      <c r="B57" s="7" t="s">
        <v>12</v>
      </c>
      <c r="C57" s="7" t="s">
        <v>31</v>
      </c>
      <c r="D57" s="53">
        <v>1147.0</v>
      </c>
      <c r="E57" s="11">
        <v>21.5</v>
      </c>
      <c r="F57" s="11">
        <v>2.8</v>
      </c>
      <c r="G57" s="51" t="str">
        <f t="shared" si="1"/>
        <v>All races, both sexes, 5-14 years</v>
      </c>
      <c r="H57" s="51" t="str">
        <f t="shared" si="2"/>
        <v>All races, both sexes, 5-14 years</v>
      </c>
      <c r="I57" s="52"/>
      <c r="J57" s="5" t="str">
        <f>IFERROR(__xludf.DUMMYFUNCTION("IFERROR(SPLIT(H57, "", "", FALSE, TRUE), )"),"All races")</f>
        <v>All races</v>
      </c>
      <c r="K57" s="5" t="str">
        <f>IFERROR(__xludf.DUMMYFUNCTION("""COMPUTED_VALUE"""),"both sexes")</f>
        <v>both sexes</v>
      </c>
      <c r="L57" s="5" t="str">
        <f>IFERROR(__xludf.DUMMYFUNCTION("""COMPUTED_VALUE"""),"5-14 years")</f>
        <v>5-14 years</v>
      </c>
    </row>
    <row r="58">
      <c r="A58" s="49" t="s">
        <v>89</v>
      </c>
      <c r="B58" s="49" t="s">
        <v>95</v>
      </c>
      <c r="G58" s="51" t="str">
        <f t="shared" si="1"/>
        <v>All races, both sexes, 5-14 years</v>
      </c>
      <c r="H58" s="51" t="str">
        <f t="shared" si="2"/>
        <v/>
      </c>
      <c r="I58" s="52"/>
      <c r="J58" s="5" t="str">
        <f>IFERROR(__xludf.DUMMYFUNCTION("IFERROR(SPLIT(H58, "", "", FALSE, TRUE), )"),"")</f>
        <v/>
      </c>
    </row>
    <row r="59">
      <c r="A59" s="3"/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51" t="str">
        <f t="shared" si="1"/>
        <v>All races, both sexes, 15-24 years</v>
      </c>
      <c r="H59" s="51" t="str">
        <f t="shared" si="2"/>
        <v/>
      </c>
      <c r="I59" s="52"/>
      <c r="J59" s="5" t="str">
        <f>IFERROR(__xludf.DUMMYFUNCTION("IFERROR(SPLIT(H59, "", "", FALSE, TRUE), )"),"")</f>
        <v/>
      </c>
    </row>
    <row r="60">
      <c r="A60" s="7"/>
      <c r="B60" s="7" t="s">
        <v>12</v>
      </c>
      <c r="C60" s="7" t="s">
        <v>13</v>
      </c>
      <c r="D60" s="53">
        <v>28486.0</v>
      </c>
      <c r="E60" s="11">
        <v>100.0</v>
      </c>
      <c r="F60" s="11">
        <v>64.8</v>
      </c>
      <c r="G60" s="51" t="str">
        <f t="shared" si="1"/>
        <v>All races, both sexes, 15-24 years</v>
      </c>
      <c r="H60" s="51" t="str">
        <f t="shared" si="2"/>
        <v>All races, both sexes, 15-24 years</v>
      </c>
      <c r="I60" s="52"/>
      <c r="J60" s="5" t="str">
        <f>IFERROR(__xludf.DUMMYFUNCTION("IFERROR(SPLIT(H60, "", "", FALSE, TRUE), )"),"All races")</f>
        <v>All races</v>
      </c>
      <c r="K60" s="5" t="str">
        <f>IFERROR(__xludf.DUMMYFUNCTION("""COMPUTED_VALUE"""),"both sexes")</f>
        <v>both sexes</v>
      </c>
      <c r="L60" s="5" t="str">
        <f>IFERROR(__xludf.DUMMYFUNCTION("""COMPUTED_VALUE"""),"15-24 years")</f>
        <v>15-24 years</v>
      </c>
    </row>
    <row r="61">
      <c r="A61" s="11"/>
      <c r="B61" s="11">
        <v>1.0</v>
      </c>
      <c r="C61" s="7" t="s">
        <v>19</v>
      </c>
      <c r="D61" s="53">
        <v>11619.0</v>
      </c>
      <c r="E61" s="11">
        <v>40.8</v>
      </c>
      <c r="F61" s="11">
        <v>26.4</v>
      </c>
      <c r="G61" s="51" t="str">
        <f t="shared" si="1"/>
        <v>All races, both sexes, 15-24 years</v>
      </c>
      <c r="H61" s="51" t="str">
        <f t="shared" si="2"/>
        <v>All races, both sexes, 15-24 years</v>
      </c>
      <c r="I61" s="52"/>
      <c r="J61" s="5" t="str">
        <f>IFERROR(__xludf.DUMMYFUNCTION("IFERROR(SPLIT(H61, "", "", FALSE, TRUE), )"),"All races")</f>
        <v>All races</v>
      </c>
      <c r="K61" s="5" t="str">
        <f>IFERROR(__xludf.DUMMYFUNCTION("""COMPUTED_VALUE"""),"both sexes")</f>
        <v>both sexes</v>
      </c>
      <c r="L61" s="5" t="str">
        <f>IFERROR(__xludf.DUMMYFUNCTION("""COMPUTED_VALUE"""),"15-24 years")</f>
        <v>15-24 years</v>
      </c>
    </row>
    <row r="62">
      <c r="A62" s="11"/>
      <c r="B62" s="11">
        <v>2.0</v>
      </c>
      <c r="C62" s="7" t="s">
        <v>25</v>
      </c>
      <c r="D62" s="53">
        <v>4878.0</v>
      </c>
      <c r="E62" s="11">
        <v>17.1</v>
      </c>
      <c r="F62" s="11">
        <v>11.1</v>
      </c>
      <c r="G62" s="51" t="str">
        <f t="shared" si="1"/>
        <v>All races, both sexes, 15-24 years</v>
      </c>
      <c r="H62" s="51" t="str">
        <f t="shared" si="2"/>
        <v>All races, both sexes, 15-24 years</v>
      </c>
      <c r="I62" s="52"/>
      <c r="J62" s="5" t="str">
        <f>IFERROR(__xludf.DUMMYFUNCTION("IFERROR(SPLIT(H62, "", "", FALSE, TRUE), )"),"All races")</f>
        <v>All races</v>
      </c>
      <c r="K62" s="5" t="str">
        <f>IFERROR(__xludf.DUMMYFUNCTION("""COMPUTED_VALUE"""),"both sexes")</f>
        <v>both sexes</v>
      </c>
      <c r="L62" s="5" t="str">
        <f>IFERROR(__xludf.DUMMYFUNCTION("""COMPUTED_VALUE"""),"15-24 years")</f>
        <v>15-24 years</v>
      </c>
    </row>
    <row r="63">
      <c r="A63" s="11"/>
      <c r="B63" s="11">
        <v>3.0</v>
      </c>
      <c r="C63" s="7" t="s">
        <v>34</v>
      </c>
      <c r="D63" s="53">
        <v>4329.0</v>
      </c>
      <c r="E63" s="11">
        <v>15.2</v>
      </c>
      <c r="F63" s="11">
        <v>9.8</v>
      </c>
      <c r="G63" s="51" t="str">
        <f t="shared" si="1"/>
        <v>All races, both sexes, 15-24 years</v>
      </c>
      <c r="H63" s="51" t="str">
        <f t="shared" si="2"/>
        <v>All races, both sexes, 15-24 years</v>
      </c>
      <c r="I63" s="52"/>
      <c r="J63" s="5" t="str">
        <f>IFERROR(__xludf.DUMMYFUNCTION("IFERROR(SPLIT(H63, "", "", FALSE, TRUE), )"),"All races")</f>
        <v>All races</v>
      </c>
      <c r="K63" s="5" t="str">
        <f>IFERROR(__xludf.DUMMYFUNCTION("""COMPUTED_VALUE"""),"both sexes")</f>
        <v>both sexes</v>
      </c>
      <c r="L63" s="5" t="str">
        <f>IFERROR(__xludf.DUMMYFUNCTION("""COMPUTED_VALUE"""),"15-24 years")</f>
        <v>15-24 years</v>
      </c>
    </row>
    <row r="64">
      <c r="A64" s="11"/>
      <c r="B64" s="11">
        <v>4.0</v>
      </c>
      <c r="C64" s="7" t="s">
        <v>17</v>
      </c>
      <c r="D64" s="53">
        <v>1496.0</v>
      </c>
      <c r="E64" s="11">
        <v>5.3</v>
      </c>
      <c r="F64" s="11">
        <v>3.4</v>
      </c>
      <c r="G64" s="51" t="str">
        <f t="shared" si="1"/>
        <v>All races, both sexes, 15-24 years</v>
      </c>
      <c r="H64" s="51" t="str">
        <f t="shared" si="2"/>
        <v>All races, both sexes, 15-24 years</v>
      </c>
      <c r="I64" s="52"/>
      <c r="J64" s="5" t="str">
        <f>IFERROR(__xludf.DUMMYFUNCTION("IFERROR(SPLIT(H64, "", "", FALSE, TRUE), )"),"All races")</f>
        <v>All races</v>
      </c>
      <c r="K64" s="5" t="str">
        <f>IFERROR(__xludf.DUMMYFUNCTION("""COMPUTED_VALUE"""),"both sexes")</f>
        <v>both sexes</v>
      </c>
      <c r="L64" s="5" t="str">
        <f>IFERROR(__xludf.DUMMYFUNCTION("""COMPUTED_VALUE"""),"15-24 years")</f>
        <v>15-24 years</v>
      </c>
    </row>
    <row r="65">
      <c r="A65" s="11"/>
      <c r="B65" s="11">
        <v>5.0</v>
      </c>
      <c r="C65" s="7" t="s">
        <v>16</v>
      </c>
      <c r="D65" s="11">
        <v>941.0</v>
      </c>
      <c r="E65" s="11">
        <v>3.3</v>
      </c>
      <c r="F65" s="11">
        <v>2.1</v>
      </c>
      <c r="G65" s="51" t="str">
        <f t="shared" si="1"/>
        <v>All races, both sexes, 15-24 years</v>
      </c>
      <c r="H65" s="51" t="str">
        <f t="shared" si="2"/>
        <v>All races, both sexes, 15-24 years</v>
      </c>
      <c r="I65" s="52"/>
      <c r="J65" s="5" t="str">
        <f>IFERROR(__xludf.DUMMYFUNCTION("IFERROR(SPLIT(H65, "", "", FALSE, TRUE), )"),"All races")</f>
        <v>All races</v>
      </c>
      <c r="K65" s="5" t="str">
        <f>IFERROR(__xludf.DUMMYFUNCTION("""COMPUTED_VALUE"""),"both sexes")</f>
        <v>both sexes</v>
      </c>
      <c r="L65" s="5" t="str">
        <f>IFERROR(__xludf.DUMMYFUNCTION("""COMPUTED_VALUE"""),"15-24 years")</f>
        <v>15-24 years</v>
      </c>
    </row>
    <row r="66">
      <c r="A66" s="11"/>
      <c r="B66" s="11">
        <v>6.0</v>
      </c>
      <c r="C66" s="7" t="s">
        <v>33</v>
      </c>
      <c r="D66" s="11">
        <v>362.0</v>
      </c>
      <c r="E66" s="11">
        <v>1.3</v>
      </c>
      <c r="F66" s="11">
        <v>0.8</v>
      </c>
      <c r="G66" s="51" t="str">
        <f t="shared" si="1"/>
        <v>All races, both sexes, 15-24 years</v>
      </c>
      <c r="H66" s="51" t="str">
        <f t="shared" si="2"/>
        <v>All races, both sexes, 15-24 years</v>
      </c>
      <c r="I66" s="52"/>
      <c r="J66" s="5" t="str">
        <f>IFERROR(__xludf.DUMMYFUNCTION("IFERROR(SPLIT(H66, "", "", FALSE, TRUE), )"),"All races")</f>
        <v>All races</v>
      </c>
      <c r="K66" s="5" t="str">
        <f>IFERROR(__xludf.DUMMYFUNCTION("""COMPUTED_VALUE"""),"both sexes")</f>
        <v>both sexes</v>
      </c>
      <c r="L66" s="5" t="str">
        <f>IFERROR(__xludf.DUMMYFUNCTION("""COMPUTED_VALUE"""),"15-24 years")</f>
        <v>15-24 years</v>
      </c>
    </row>
    <row r="67">
      <c r="A67" s="11"/>
      <c r="B67" s="11">
        <v>7.0</v>
      </c>
      <c r="C67" s="7" t="s">
        <v>23</v>
      </c>
      <c r="D67" s="11">
        <v>197.0</v>
      </c>
      <c r="E67" s="11">
        <v>0.7</v>
      </c>
      <c r="F67" s="11">
        <v>0.4</v>
      </c>
      <c r="G67" s="51" t="str">
        <f t="shared" si="1"/>
        <v>All races, both sexes, 15-24 years</v>
      </c>
      <c r="H67" s="51" t="str">
        <f t="shared" si="2"/>
        <v>All races, both sexes, 15-24 years</v>
      </c>
      <c r="I67" s="52"/>
      <c r="J67" s="5" t="str">
        <f>IFERROR(__xludf.DUMMYFUNCTION("IFERROR(SPLIT(H67, "", "", FALSE, TRUE), )"),"All races")</f>
        <v>All races</v>
      </c>
      <c r="K67" s="5" t="str">
        <f>IFERROR(__xludf.DUMMYFUNCTION("""COMPUTED_VALUE"""),"both sexes")</f>
        <v>both sexes</v>
      </c>
      <c r="L67" s="5" t="str">
        <f>IFERROR(__xludf.DUMMYFUNCTION("""COMPUTED_VALUE"""),"15-24 years")</f>
        <v>15-24 years</v>
      </c>
    </row>
    <row r="68">
      <c r="A68" s="11"/>
      <c r="B68" s="11">
        <v>8.0</v>
      </c>
      <c r="C68" s="7" t="s">
        <v>22</v>
      </c>
      <c r="D68" s="11">
        <v>193.0</v>
      </c>
      <c r="E68" s="11">
        <v>0.7</v>
      </c>
      <c r="F68" s="11">
        <v>0.4</v>
      </c>
      <c r="G68" s="51" t="str">
        <f t="shared" si="1"/>
        <v>All races, both sexes, 15-24 years</v>
      </c>
      <c r="H68" s="51" t="str">
        <f t="shared" si="2"/>
        <v>All races, both sexes, 15-24 years</v>
      </c>
      <c r="I68" s="52"/>
      <c r="J68" s="5" t="str">
        <f>IFERROR(__xludf.DUMMYFUNCTION("IFERROR(SPLIT(H68, "", "", FALSE, TRUE), )"),"All races")</f>
        <v>All races</v>
      </c>
      <c r="K68" s="5" t="str">
        <f>IFERROR(__xludf.DUMMYFUNCTION("""COMPUTED_VALUE"""),"both sexes")</f>
        <v>both sexes</v>
      </c>
      <c r="L68" s="5" t="str">
        <f>IFERROR(__xludf.DUMMYFUNCTION("""COMPUTED_VALUE"""),"15-24 years")</f>
        <v>15-24 years</v>
      </c>
    </row>
    <row r="69">
      <c r="A69" s="11"/>
      <c r="B69" s="11">
        <v>9.0</v>
      </c>
      <c r="C69" s="7" t="s">
        <v>43</v>
      </c>
      <c r="D69" s="11">
        <v>178.0</v>
      </c>
      <c r="E69" s="11">
        <v>0.6</v>
      </c>
      <c r="F69" s="11">
        <v>0.4</v>
      </c>
      <c r="G69" s="51" t="str">
        <f t="shared" si="1"/>
        <v>All races, both sexes, 15-24 years</v>
      </c>
      <c r="H69" s="51" t="str">
        <f t="shared" si="2"/>
        <v>All races, both sexes, 15-24 years</v>
      </c>
      <c r="I69" s="52"/>
      <c r="J69" s="5" t="str">
        <f>IFERROR(__xludf.DUMMYFUNCTION("IFERROR(SPLIT(H69, "", "", FALSE, TRUE), )"),"All races")</f>
        <v>All races</v>
      </c>
      <c r="K69" s="5" t="str">
        <f>IFERROR(__xludf.DUMMYFUNCTION("""COMPUTED_VALUE"""),"both sexes")</f>
        <v>both sexes</v>
      </c>
      <c r="L69" s="5" t="str">
        <f>IFERROR(__xludf.DUMMYFUNCTION("""COMPUTED_VALUE"""),"15-24 years")</f>
        <v>15-24 years</v>
      </c>
    </row>
    <row r="70">
      <c r="A70" s="11"/>
      <c r="B70" s="11">
        <v>10.0</v>
      </c>
      <c r="C70" s="7" t="s">
        <v>18</v>
      </c>
      <c r="D70" s="11">
        <v>155.0</v>
      </c>
      <c r="E70" s="11">
        <v>0.5</v>
      </c>
      <c r="F70" s="11">
        <v>0.4</v>
      </c>
      <c r="G70" s="51" t="str">
        <f t="shared" si="1"/>
        <v>All races, both sexes, 15-24 years</v>
      </c>
      <c r="H70" s="51" t="str">
        <f t="shared" si="2"/>
        <v>All races, both sexes, 15-24 years</v>
      </c>
      <c r="I70" s="52"/>
      <c r="J70" s="5" t="str">
        <f>IFERROR(__xludf.DUMMYFUNCTION("IFERROR(SPLIT(H70, "", "", FALSE, TRUE), )"),"All races")</f>
        <v>All races</v>
      </c>
      <c r="K70" s="5" t="str">
        <f>IFERROR(__xludf.DUMMYFUNCTION("""COMPUTED_VALUE"""),"both sexes")</f>
        <v>both sexes</v>
      </c>
      <c r="L70" s="5" t="str">
        <f>IFERROR(__xludf.DUMMYFUNCTION("""COMPUTED_VALUE"""),"15-24 years")</f>
        <v>15-24 years</v>
      </c>
    </row>
    <row r="71">
      <c r="A71" s="11"/>
      <c r="B71" s="11">
        <v>11.0</v>
      </c>
      <c r="C71" s="7" t="s">
        <v>20</v>
      </c>
      <c r="D71" s="11">
        <v>153.0</v>
      </c>
      <c r="E71" s="11">
        <v>0.5</v>
      </c>
      <c r="F71" s="11">
        <v>0.3</v>
      </c>
      <c r="G71" s="51" t="str">
        <f t="shared" si="1"/>
        <v>All races, both sexes, 15-24 years</v>
      </c>
      <c r="H71" s="51" t="str">
        <f t="shared" si="2"/>
        <v>All races, both sexes, 15-24 years</v>
      </c>
      <c r="I71" s="52"/>
      <c r="J71" s="5" t="str">
        <f>IFERROR(__xludf.DUMMYFUNCTION("IFERROR(SPLIT(H71, "", "", FALSE, TRUE), )"),"All races")</f>
        <v>All races</v>
      </c>
      <c r="K71" s="5" t="str">
        <f>IFERROR(__xludf.DUMMYFUNCTION("""COMPUTED_VALUE"""),"both sexes")</f>
        <v>both sexes</v>
      </c>
      <c r="L71" s="5" t="str">
        <f>IFERROR(__xludf.DUMMYFUNCTION("""COMPUTED_VALUE"""),"15-24 years")</f>
        <v>15-24 years</v>
      </c>
    </row>
    <row r="72">
      <c r="A72" s="11"/>
      <c r="B72" s="11">
        <v>12.0</v>
      </c>
      <c r="C72" s="7" t="s">
        <v>26</v>
      </c>
      <c r="D72" s="11">
        <v>138.0</v>
      </c>
      <c r="E72" s="11">
        <v>0.5</v>
      </c>
      <c r="F72" s="11">
        <v>0.3</v>
      </c>
      <c r="G72" s="51" t="str">
        <f t="shared" si="1"/>
        <v>All races, both sexes, 15-24 years</v>
      </c>
      <c r="H72" s="51" t="str">
        <f t="shared" si="2"/>
        <v>All races, both sexes, 15-24 years</v>
      </c>
      <c r="I72" s="52"/>
      <c r="J72" s="5" t="str">
        <f>IFERROR(__xludf.DUMMYFUNCTION("IFERROR(SPLIT(H72, "", "", FALSE, TRUE), )"),"All races")</f>
        <v>All races</v>
      </c>
      <c r="K72" s="5" t="str">
        <f>IFERROR(__xludf.DUMMYFUNCTION("""COMPUTED_VALUE"""),"both sexes")</f>
        <v>both sexes</v>
      </c>
      <c r="L72" s="5" t="str">
        <f>IFERROR(__xludf.DUMMYFUNCTION("""COMPUTED_VALUE"""),"15-24 years")</f>
        <v>15-24 years</v>
      </c>
    </row>
    <row r="73">
      <c r="A73" s="11"/>
      <c r="B73" s="11">
        <v>13.0</v>
      </c>
      <c r="C73" s="7" t="s">
        <v>44</v>
      </c>
      <c r="D73" s="11">
        <v>109.0</v>
      </c>
      <c r="E73" s="11">
        <v>0.4</v>
      </c>
      <c r="F73" s="11">
        <v>0.2</v>
      </c>
      <c r="G73" s="51" t="str">
        <f t="shared" si="1"/>
        <v>All races, both sexes, 15-24 years</v>
      </c>
      <c r="H73" s="51" t="str">
        <f t="shared" si="2"/>
        <v>All races, both sexes, 15-24 years</v>
      </c>
      <c r="I73" s="52"/>
      <c r="J73" s="5" t="str">
        <f>IFERROR(__xludf.DUMMYFUNCTION("IFERROR(SPLIT(H73, "", "", FALSE, TRUE), )"),"All races")</f>
        <v>All races</v>
      </c>
      <c r="K73" s="5" t="str">
        <f>IFERROR(__xludf.DUMMYFUNCTION("""COMPUTED_VALUE"""),"both sexes")</f>
        <v>both sexes</v>
      </c>
      <c r="L73" s="5" t="str">
        <f>IFERROR(__xludf.DUMMYFUNCTION("""COMPUTED_VALUE"""),"15-24 years")</f>
        <v>15-24 years</v>
      </c>
    </row>
    <row r="74">
      <c r="A74" s="11"/>
      <c r="B74" s="11">
        <v>14.0</v>
      </c>
      <c r="C74" s="7" t="s">
        <v>45</v>
      </c>
      <c r="D74" s="11">
        <v>99.0</v>
      </c>
      <c r="E74" s="11">
        <v>0.3</v>
      </c>
      <c r="F74" s="11">
        <v>0.2</v>
      </c>
      <c r="G74" s="51" t="str">
        <f t="shared" si="1"/>
        <v>All races, both sexes, 15-24 years</v>
      </c>
      <c r="H74" s="51" t="str">
        <f t="shared" si="2"/>
        <v>All races, both sexes, 15-24 years</v>
      </c>
      <c r="I74" s="52"/>
      <c r="J74" s="5" t="str">
        <f>IFERROR(__xludf.DUMMYFUNCTION("IFERROR(SPLIT(H74, "", "", FALSE, TRUE), )"),"All races")</f>
        <v>All races</v>
      </c>
      <c r="K74" s="5" t="str">
        <f>IFERROR(__xludf.DUMMYFUNCTION("""COMPUTED_VALUE"""),"both sexes")</f>
        <v>both sexes</v>
      </c>
      <c r="L74" s="5" t="str">
        <f>IFERROR(__xludf.DUMMYFUNCTION("""COMPUTED_VALUE"""),"15-24 years")</f>
        <v>15-24 years</v>
      </c>
    </row>
    <row r="75">
      <c r="A75" s="11"/>
      <c r="B75" s="11">
        <v>15.0</v>
      </c>
      <c r="C75" s="7" t="s">
        <v>38</v>
      </c>
      <c r="D75" s="11">
        <v>93.0</v>
      </c>
      <c r="E75" s="11">
        <v>0.3</v>
      </c>
      <c r="F75" s="11">
        <v>0.2</v>
      </c>
      <c r="G75" s="51" t="str">
        <f t="shared" si="1"/>
        <v>All races, both sexes, 15-24 years</v>
      </c>
      <c r="H75" s="51" t="str">
        <f t="shared" si="2"/>
        <v>All races, both sexes, 15-24 years</v>
      </c>
      <c r="I75" s="52"/>
      <c r="J75" s="5" t="str">
        <f>IFERROR(__xludf.DUMMYFUNCTION("IFERROR(SPLIT(H75, "", "", FALSE, TRUE), )"),"All races")</f>
        <v>All races</v>
      </c>
      <c r="K75" s="5" t="str">
        <f>IFERROR(__xludf.DUMMYFUNCTION("""COMPUTED_VALUE"""),"both sexes")</f>
        <v>both sexes</v>
      </c>
      <c r="L75" s="5" t="str">
        <f>IFERROR(__xludf.DUMMYFUNCTION("""COMPUTED_VALUE"""),"15-24 years")</f>
        <v>15-24 years</v>
      </c>
    </row>
    <row r="76">
      <c r="A76" s="7"/>
      <c r="B76" s="7" t="s">
        <v>12</v>
      </c>
      <c r="C76" s="7" t="s">
        <v>31</v>
      </c>
      <c r="D76" s="53">
        <v>3546.0</v>
      </c>
      <c r="E76" s="11">
        <v>12.4</v>
      </c>
      <c r="F76" s="11">
        <v>8.1</v>
      </c>
      <c r="G76" s="51" t="str">
        <f t="shared" si="1"/>
        <v>All races, both sexes, 15-24 years</v>
      </c>
      <c r="H76" s="51" t="str">
        <f t="shared" si="2"/>
        <v>All races, both sexes, 15-24 years</v>
      </c>
      <c r="I76" s="52"/>
      <c r="J76" s="5" t="str">
        <f>IFERROR(__xludf.DUMMYFUNCTION("IFERROR(SPLIT(H76, "", "", FALSE, TRUE), )"),"All races")</f>
        <v>All races</v>
      </c>
      <c r="K76" s="5" t="str">
        <f>IFERROR(__xludf.DUMMYFUNCTION("""COMPUTED_VALUE"""),"both sexes")</f>
        <v>both sexes</v>
      </c>
      <c r="L76" s="5" t="str">
        <f>IFERROR(__xludf.DUMMYFUNCTION("""COMPUTED_VALUE"""),"15-24 years")</f>
        <v>15-24 years</v>
      </c>
    </row>
    <row r="77">
      <c r="A77" s="49" t="s">
        <v>89</v>
      </c>
      <c r="B77" s="49" t="s">
        <v>96</v>
      </c>
      <c r="G77" s="51" t="str">
        <f t="shared" si="1"/>
        <v>All races, both sexes, 15-24 years</v>
      </c>
      <c r="H77" s="51" t="str">
        <f t="shared" si="2"/>
        <v/>
      </c>
      <c r="I77" s="52"/>
      <c r="J77" s="5" t="str">
        <f>IFERROR(__xludf.DUMMYFUNCTION("IFERROR(SPLIT(H77, "", "", FALSE, TRUE), )"),"")</f>
        <v/>
      </c>
    </row>
    <row r="78">
      <c r="A78" s="3"/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  <c r="G78" s="51" t="str">
        <f t="shared" si="1"/>
        <v>All races, both sexes, 25-34 years</v>
      </c>
      <c r="H78" s="51" t="str">
        <f t="shared" si="2"/>
        <v/>
      </c>
      <c r="I78" s="52"/>
      <c r="J78" s="5" t="str">
        <f>IFERROR(__xludf.DUMMYFUNCTION("IFERROR(SPLIT(H78, "", "", FALSE, TRUE), )"),"")</f>
        <v/>
      </c>
    </row>
    <row r="79">
      <c r="A79" s="7"/>
      <c r="B79" s="7" t="s">
        <v>12</v>
      </c>
      <c r="C79" s="7" t="s">
        <v>13</v>
      </c>
      <c r="D79" s="53">
        <v>45463.0</v>
      </c>
      <c r="E79" s="11">
        <v>100.0</v>
      </c>
      <c r="F79" s="11">
        <v>106.1</v>
      </c>
      <c r="G79" s="51" t="str">
        <f t="shared" si="1"/>
        <v>All races, both sexes, 25-34 years</v>
      </c>
      <c r="H79" s="51" t="str">
        <f t="shared" si="2"/>
        <v>All races, both sexes, 25-34 years</v>
      </c>
      <c r="I79" s="52"/>
      <c r="J79" s="5" t="str">
        <f>IFERROR(__xludf.DUMMYFUNCTION("IFERROR(SPLIT(H79, "", "", FALSE, TRUE), )"),"All races")</f>
        <v>All races</v>
      </c>
      <c r="K79" s="5" t="str">
        <f>IFERROR(__xludf.DUMMYFUNCTION("""COMPUTED_VALUE"""),"both sexes")</f>
        <v>both sexes</v>
      </c>
      <c r="L79" s="5" t="str">
        <f>IFERROR(__xludf.DUMMYFUNCTION("""COMPUTED_VALUE"""),"25-34 years")</f>
        <v>25-34 years</v>
      </c>
    </row>
    <row r="80">
      <c r="A80" s="11"/>
      <c r="B80" s="11">
        <v>1.0</v>
      </c>
      <c r="C80" s="7" t="s">
        <v>19</v>
      </c>
      <c r="D80" s="53">
        <v>16209.0</v>
      </c>
      <c r="E80" s="11">
        <v>35.7</v>
      </c>
      <c r="F80" s="11">
        <v>37.8</v>
      </c>
      <c r="G80" s="51" t="str">
        <f t="shared" si="1"/>
        <v>All races, both sexes, 25-34 years</v>
      </c>
      <c r="H80" s="51" t="str">
        <f t="shared" si="2"/>
        <v>All races, both sexes, 25-34 years</v>
      </c>
      <c r="I80" s="52"/>
      <c r="J80" s="5" t="str">
        <f>IFERROR(__xludf.DUMMYFUNCTION("IFERROR(SPLIT(H80, "", "", FALSE, TRUE), )"),"All races")</f>
        <v>All races</v>
      </c>
      <c r="K80" s="5" t="str">
        <f>IFERROR(__xludf.DUMMYFUNCTION("""COMPUTED_VALUE"""),"both sexes")</f>
        <v>both sexes</v>
      </c>
      <c r="L80" s="5" t="str">
        <f>IFERROR(__xludf.DUMMYFUNCTION("""COMPUTED_VALUE"""),"25-34 years")</f>
        <v>25-34 years</v>
      </c>
    </row>
    <row r="81">
      <c r="A81" s="11"/>
      <c r="B81" s="11">
        <v>2.0</v>
      </c>
      <c r="C81" s="7" t="s">
        <v>25</v>
      </c>
      <c r="D81" s="53">
        <v>6348.0</v>
      </c>
      <c r="E81" s="11">
        <v>14.0</v>
      </c>
      <c r="F81" s="11">
        <v>14.8</v>
      </c>
      <c r="G81" s="51" t="str">
        <f t="shared" si="1"/>
        <v>All races, both sexes, 25-34 years</v>
      </c>
      <c r="H81" s="51" t="str">
        <f t="shared" si="2"/>
        <v>All races, both sexes, 25-34 years</v>
      </c>
      <c r="I81" s="52"/>
      <c r="J81" s="5" t="str">
        <f>IFERROR(__xludf.DUMMYFUNCTION("IFERROR(SPLIT(H81, "", "", FALSE, TRUE), )"),"All races")</f>
        <v>All races</v>
      </c>
      <c r="K81" s="5" t="str">
        <f>IFERROR(__xludf.DUMMYFUNCTION("""COMPUTED_VALUE"""),"both sexes")</f>
        <v>both sexes</v>
      </c>
      <c r="L81" s="5" t="str">
        <f>IFERROR(__xludf.DUMMYFUNCTION("""COMPUTED_VALUE"""),"25-34 years")</f>
        <v>25-34 years</v>
      </c>
    </row>
    <row r="82">
      <c r="A82" s="11"/>
      <c r="B82" s="11">
        <v>3.0</v>
      </c>
      <c r="C82" s="7" t="s">
        <v>34</v>
      </c>
      <c r="D82" s="53">
        <v>4236.0</v>
      </c>
      <c r="E82" s="11">
        <v>9.3</v>
      </c>
      <c r="F82" s="11">
        <v>9.9</v>
      </c>
      <c r="G82" s="51" t="str">
        <f t="shared" si="1"/>
        <v>All races, both sexes, 25-34 years</v>
      </c>
      <c r="H82" s="51" t="str">
        <f t="shared" si="2"/>
        <v>All races, both sexes, 25-34 years</v>
      </c>
      <c r="I82" s="52"/>
      <c r="J82" s="5" t="str">
        <f>IFERROR(__xludf.DUMMYFUNCTION("IFERROR(SPLIT(H82, "", "", FALSE, TRUE), )"),"All races")</f>
        <v>All races</v>
      </c>
      <c r="K82" s="5" t="str">
        <f>IFERROR(__xludf.DUMMYFUNCTION("""COMPUTED_VALUE"""),"both sexes")</f>
        <v>both sexes</v>
      </c>
      <c r="L82" s="5" t="str">
        <f>IFERROR(__xludf.DUMMYFUNCTION("""COMPUTED_VALUE"""),"25-34 years")</f>
        <v>25-34 years</v>
      </c>
    </row>
    <row r="83">
      <c r="A83" s="11"/>
      <c r="B83" s="11">
        <v>4.0</v>
      </c>
      <c r="C83" s="7" t="s">
        <v>17</v>
      </c>
      <c r="D83" s="53">
        <v>3673.0</v>
      </c>
      <c r="E83" s="11">
        <v>8.1</v>
      </c>
      <c r="F83" s="11">
        <v>8.6</v>
      </c>
      <c r="G83" s="51" t="str">
        <f t="shared" si="1"/>
        <v>All races, both sexes, 25-34 years</v>
      </c>
      <c r="H83" s="51" t="str">
        <f t="shared" si="2"/>
        <v>All races, both sexes, 25-34 years</v>
      </c>
      <c r="I83" s="52"/>
      <c r="J83" s="5" t="str">
        <f>IFERROR(__xludf.DUMMYFUNCTION("IFERROR(SPLIT(H83, "", "", FALSE, TRUE), )"),"All races")</f>
        <v>All races</v>
      </c>
      <c r="K83" s="5" t="str">
        <f>IFERROR(__xludf.DUMMYFUNCTION("""COMPUTED_VALUE"""),"both sexes")</f>
        <v>both sexes</v>
      </c>
      <c r="L83" s="5" t="str">
        <f>IFERROR(__xludf.DUMMYFUNCTION("""COMPUTED_VALUE"""),"25-34 years")</f>
        <v>25-34 years</v>
      </c>
    </row>
    <row r="84">
      <c r="A84" s="11"/>
      <c r="B84" s="11">
        <v>5.0</v>
      </c>
      <c r="C84" s="7" t="s">
        <v>16</v>
      </c>
      <c r="D84" s="53">
        <v>3258.0</v>
      </c>
      <c r="E84" s="11">
        <v>7.2</v>
      </c>
      <c r="F84" s="11">
        <v>7.6</v>
      </c>
      <c r="G84" s="51" t="str">
        <f t="shared" si="1"/>
        <v>All races, both sexes, 25-34 years</v>
      </c>
      <c r="H84" s="51" t="str">
        <f t="shared" si="2"/>
        <v>All races, both sexes, 25-34 years</v>
      </c>
      <c r="I84" s="52"/>
      <c r="J84" s="5" t="str">
        <f>IFERROR(__xludf.DUMMYFUNCTION("IFERROR(SPLIT(H84, "", "", FALSE, TRUE), )"),"All races")</f>
        <v>All races</v>
      </c>
      <c r="K84" s="5" t="str">
        <f>IFERROR(__xludf.DUMMYFUNCTION("""COMPUTED_VALUE"""),"both sexes")</f>
        <v>both sexes</v>
      </c>
      <c r="L84" s="5" t="str">
        <f>IFERROR(__xludf.DUMMYFUNCTION("""COMPUTED_VALUE"""),"25-34 years")</f>
        <v>25-34 years</v>
      </c>
    </row>
    <row r="85">
      <c r="A85" s="11"/>
      <c r="B85" s="11">
        <v>6.0</v>
      </c>
      <c r="C85" s="7" t="s">
        <v>22</v>
      </c>
      <c r="D85" s="11">
        <v>684.0</v>
      </c>
      <c r="E85" s="11">
        <v>1.5</v>
      </c>
      <c r="F85" s="11">
        <v>1.6</v>
      </c>
      <c r="G85" s="51" t="str">
        <f t="shared" si="1"/>
        <v>All races, both sexes, 25-34 years</v>
      </c>
      <c r="H85" s="51" t="str">
        <f t="shared" si="2"/>
        <v>All races, both sexes, 25-34 years</v>
      </c>
      <c r="I85" s="52"/>
      <c r="J85" s="5" t="str">
        <f>IFERROR(__xludf.DUMMYFUNCTION("IFERROR(SPLIT(H85, "", "", FALSE, TRUE), )"),"All races")</f>
        <v>All races</v>
      </c>
      <c r="K85" s="5" t="str">
        <f>IFERROR(__xludf.DUMMYFUNCTION("""COMPUTED_VALUE"""),"both sexes")</f>
        <v>both sexes</v>
      </c>
      <c r="L85" s="5" t="str">
        <f>IFERROR(__xludf.DUMMYFUNCTION("""COMPUTED_VALUE"""),"25-34 years")</f>
        <v>25-34 years</v>
      </c>
    </row>
    <row r="86">
      <c r="A86" s="11"/>
      <c r="B86" s="11">
        <v>7.0</v>
      </c>
      <c r="C86" s="7" t="s">
        <v>27</v>
      </c>
      <c r="D86" s="11">
        <v>676.0</v>
      </c>
      <c r="E86" s="11">
        <v>1.5</v>
      </c>
      <c r="F86" s="11">
        <v>1.6</v>
      </c>
      <c r="G86" s="51" t="str">
        <f t="shared" si="1"/>
        <v>All races, both sexes, 25-34 years</v>
      </c>
      <c r="H86" s="51" t="str">
        <f t="shared" si="2"/>
        <v>All races, both sexes, 25-34 years</v>
      </c>
      <c r="I86" s="52"/>
      <c r="J86" s="5" t="str">
        <f>IFERROR(__xludf.DUMMYFUNCTION("IFERROR(SPLIT(H86, "", "", FALSE, TRUE), )"),"All races")</f>
        <v>All races</v>
      </c>
      <c r="K86" s="5" t="str">
        <f>IFERROR(__xludf.DUMMYFUNCTION("""COMPUTED_VALUE"""),"both sexes")</f>
        <v>both sexes</v>
      </c>
      <c r="L86" s="5" t="str">
        <f>IFERROR(__xludf.DUMMYFUNCTION("""COMPUTED_VALUE"""),"25-34 years")</f>
        <v>25-34 years</v>
      </c>
    </row>
    <row r="87">
      <c r="A87" s="11"/>
      <c r="B87" s="11">
        <v>8.0</v>
      </c>
      <c r="C87" s="7" t="s">
        <v>44</v>
      </c>
      <c r="D87" s="11">
        <v>631.0</v>
      </c>
      <c r="E87" s="11">
        <v>1.4</v>
      </c>
      <c r="F87" s="11">
        <v>1.5</v>
      </c>
      <c r="G87" s="51" t="str">
        <f t="shared" si="1"/>
        <v>All races, both sexes, 25-34 years</v>
      </c>
      <c r="H87" s="51" t="str">
        <f t="shared" si="2"/>
        <v>All races, both sexes, 25-34 years</v>
      </c>
      <c r="I87" s="52"/>
      <c r="J87" s="5" t="str">
        <f>IFERROR(__xludf.DUMMYFUNCTION("IFERROR(SPLIT(H87, "", "", FALSE, TRUE), )"),"All races")</f>
        <v>All races</v>
      </c>
      <c r="K87" s="5" t="str">
        <f>IFERROR(__xludf.DUMMYFUNCTION("""COMPUTED_VALUE"""),"both sexes")</f>
        <v>both sexes</v>
      </c>
      <c r="L87" s="5" t="str">
        <f>IFERROR(__xludf.DUMMYFUNCTION("""COMPUTED_VALUE"""),"25-34 years")</f>
        <v>25-34 years</v>
      </c>
    </row>
    <row r="88">
      <c r="A88" s="11"/>
      <c r="B88" s="11">
        <v>9.0</v>
      </c>
      <c r="C88" s="7" t="s">
        <v>20</v>
      </c>
      <c r="D88" s="11">
        <v>508.0</v>
      </c>
      <c r="E88" s="11">
        <v>1.1</v>
      </c>
      <c r="F88" s="11">
        <v>1.2</v>
      </c>
      <c r="G88" s="51" t="str">
        <f t="shared" si="1"/>
        <v>All races, both sexes, 25-34 years</v>
      </c>
      <c r="H88" s="51" t="str">
        <f t="shared" si="2"/>
        <v>All races, both sexes, 25-34 years</v>
      </c>
      <c r="I88" s="52"/>
      <c r="J88" s="5" t="str">
        <f>IFERROR(__xludf.DUMMYFUNCTION("IFERROR(SPLIT(H88, "", "", FALSE, TRUE), )"),"All races")</f>
        <v>All races</v>
      </c>
      <c r="K88" s="5" t="str">
        <f>IFERROR(__xludf.DUMMYFUNCTION("""COMPUTED_VALUE"""),"both sexes")</f>
        <v>both sexes</v>
      </c>
      <c r="L88" s="5" t="str">
        <f>IFERROR(__xludf.DUMMYFUNCTION("""COMPUTED_VALUE"""),"25-34 years")</f>
        <v>25-34 years</v>
      </c>
    </row>
    <row r="89">
      <c r="A89" s="11"/>
      <c r="B89" s="11">
        <v>10.0</v>
      </c>
      <c r="C89" s="7" t="s">
        <v>23</v>
      </c>
      <c r="D89" s="11">
        <v>449.0</v>
      </c>
      <c r="E89" s="11">
        <v>1.0</v>
      </c>
      <c r="F89" s="11">
        <v>1.0</v>
      </c>
      <c r="G89" s="51" t="str">
        <f t="shared" si="1"/>
        <v>All races, both sexes, 25-34 years</v>
      </c>
      <c r="H89" s="51" t="str">
        <f t="shared" si="2"/>
        <v>All races, both sexes, 25-34 years</v>
      </c>
      <c r="I89" s="52"/>
      <c r="J89" s="5" t="str">
        <f>IFERROR(__xludf.DUMMYFUNCTION("IFERROR(SPLIT(H89, "", "", FALSE, TRUE), )"),"All races")</f>
        <v>All races</v>
      </c>
      <c r="K89" s="5" t="str">
        <f>IFERROR(__xludf.DUMMYFUNCTION("""COMPUTED_VALUE"""),"both sexes")</f>
        <v>both sexes</v>
      </c>
      <c r="L89" s="5" t="str">
        <f>IFERROR(__xludf.DUMMYFUNCTION("""COMPUTED_VALUE"""),"25-34 years")</f>
        <v>25-34 years</v>
      </c>
    </row>
    <row r="90">
      <c r="A90" s="11"/>
      <c r="B90" s="11">
        <v>11.0</v>
      </c>
      <c r="C90" s="7" t="s">
        <v>43</v>
      </c>
      <c r="D90" s="11">
        <v>441.0</v>
      </c>
      <c r="E90" s="11">
        <v>1.0</v>
      </c>
      <c r="F90" s="11">
        <v>1.0</v>
      </c>
      <c r="G90" s="51" t="str">
        <f t="shared" si="1"/>
        <v>All races, both sexes, 25-34 years</v>
      </c>
      <c r="H90" s="51" t="str">
        <f t="shared" si="2"/>
        <v>All races, both sexes, 25-34 years</v>
      </c>
      <c r="I90" s="52"/>
      <c r="J90" s="5" t="str">
        <f>IFERROR(__xludf.DUMMYFUNCTION("IFERROR(SPLIT(H90, "", "", FALSE, TRUE), )"),"All races")</f>
        <v>All races</v>
      </c>
      <c r="K90" s="5" t="str">
        <f>IFERROR(__xludf.DUMMYFUNCTION("""COMPUTED_VALUE"""),"both sexes")</f>
        <v>both sexes</v>
      </c>
      <c r="L90" s="5" t="str">
        <f>IFERROR(__xludf.DUMMYFUNCTION("""COMPUTED_VALUE"""),"25-34 years")</f>
        <v>25-34 years</v>
      </c>
    </row>
    <row r="91">
      <c r="A91" s="11"/>
      <c r="B91" s="11">
        <v>12.0</v>
      </c>
      <c r="C91" s="7" t="s">
        <v>33</v>
      </c>
      <c r="D91" s="11">
        <v>423.0</v>
      </c>
      <c r="E91" s="11">
        <v>0.9</v>
      </c>
      <c r="F91" s="11">
        <v>1.0</v>
      </c>
      <c r="G91" s="51" t="str">
        <f t="shared" si="1"/>
        <v>All races, both sexes, 25-34 years</v>
      </c>
      <c r="H91" s="51" t="str">
        <f t="shared" si="2"/>
        <v>All races, both sexes, 25-34 years</v>
      </c>
      <c r="I91" s="52"/>
      <c r="J91" s="5" t="str">
        <f>IFERROR(__xludf.DUMMYFUNCTION("IFERROR(SPLIT(H91, "", "", FALSE, TRUE), )"),"All races")</f>
        <v>All races</v>
      </c>
      <c r="K91" s="5" t="str">
        <f>IFERROR(__xludf.DUMMYFUNCTION("""COMPUTED_VALUE"""),"both sexes")</f>
        <v>both sexes</v>
      </c>
      <c r="L91" s="5" t="str">
        <f>IFERROR(__xludf.DUMMYFUNCTION("""COMPUTED_VALUE"""),"25-34 years")</f>
        <v>25-34 years</v>
      </c>
    </row>
    <row r="92">
      <c r="A92" s="11"/>
      <c r="B92" s="11">
        <v>13.0</v>
      </c>
      <c r="C92" s="7" t="s">
        <v>26</v>
      </c>
      <c r="D92" s="11">
        <v>333.0</v>
      </c>
      <c r="E92" s="11">
        <v>0.7</v>
      </c>
      <c r="F92" s="11">
        <v>0.8</v>
      </c>
      <c r="G92" s="51" t="str">
        <f t="shared" si="1"/>
        <v>All races, both sexes, 25-34 years</v>
      </c>
      <c r="H92" s="51" t="str">
        <f t="shared" si="2"/>
        <v>All races, both sexes, 25-34 years</v>
      </c>
      <c r="I92" s="52"/>
      <c r="J92" s="5" t="str">
        <f>IFERROR(__xludf.DUMMYFUNCTION("IFERROR(SPLIT(H92, "", "", FALSE, TRUE), )"),"All races")</f>
        <v>All races</v>
      </c>
      <c r="K92" s="5" t="str">
        <f>IFERROR(__xludf.DUMMYFUNCTION("""COMPUTED_VALUE"""),"both sexes")</f>
        <v>both sexes</v>
      </c>
      <c r="L92" s="5" t="str">
        <f>IFERROR(__xludf.DUMMYFUNCTION("""COMPUTED_VALUE"""),"25-34 years")</f>
        <v>25-34 years</v>
      </c>
    </row>
    <row r="93">
      <c r="A93" s="11"/>
      <c r="B93" s="11">
        <v>14.0</v>
      </c>
      <c r="C93" s="7" t="s">
        <v>18</v>
      </c>
      <c r="D93" s="11">
        <v>291.0</v>
      </c>
      <c r="E93" s="11">
        <v>0.6</v>
      </c>
      <c r="F93" s="11">
        <v>0.7</v>
      </c>
      <c r="G93" s="51" t="str">
        <f t="shared" si="1"/>
        <v>All races, both sexes, 25-34 years</v>
      </c>
      <c r="H93" s="51" t="str">
        <f t="shared" si="2"/>
        <v>All races, both sexes, 25-34 years</v>
      </c>
      <c r="I93" s="52"/>
      <c r="J93" s="5" t="str">
        <f>IFERROR(__xludf.DUMMYFUNCTION("IFERROR(SPLIT(H93, "", "", FALSE, TRUE), )"),"All races")</f>
        <v>All races</v>
      </c>
      <c r="K93" s="5" t="str">
        <f>IFERROR(__xludf.DUMMYFUNCTION("""COMPUTED_VALUE"""),"both sexes")</f>
        <v>both sexes</v>
      </c>
      <c r="L93" s="5" t="str">
        <f>IFERROR(__xludf.DUMMYFUNCTION("""COMPUTED_VALUE"""),"25-34 years")</f>
        <v>25-34 years</v>
      </c>
    </row>
    <row r="94">
      <c r="A94" s="11"/>
      <c r="B94" s="11">
        <v>15.0</v>
      </c>
      <c r="C94" s="7" t="s">
        <v>24</v>
      </c>
      <c r="D94" s="11">
        <v>266.0</v>
      </c>
      <c r="E94" s="11">
        <v>0.6</v>
      </c>
      <c r="F94" s="11">
        <v>0.6</v>
      </c>
      <c r="G94" s="51" t="str">
        <f t="shared" si="1"/>
        <v>All races, both sexes, 25-34 years</v>
      </c>
      <c r="H94" s="51" t="str">
        <f t="shared" si="2"/>
        <v>All races, both sexes, 25-34 years</v>
      </c>
      <c r="I94" s="52"/>
      <c r="J94" s="5" t="str">
        <f>IFERROR(__xludf.DUMMYFUNCTION("IFERROR(SPLIT(H94, "", "", FALSE, TRUE), )"),"All races")</f>
        <v>All races</v>
      </c>
      <c r="K94" s="5" t="str">
        <f>IFERROR(__xludf.DUMMYFUNCTION("""COMPUTED_VALUE"""),"both sexes")</f>
        <v>both sexes</v>
      </c>
      <c r="L94" s="5" t="str">
        <f>IFERROR(__xludf.DUMMYFUNCTION("""COMPUTED_VALUE"""),"25-34 years")</f>
        <v>25-34 years</v>
      </c>
    </row>
    <row r="95">
      <c r="A95" s="7"/>
      <c r="B95" s="7" t="s">
        <v>12</v>
      </c>
      <c r="C95" s="7" t="s">
        <v>31</v>
      </c>
      <c r="D95" s="53">
        <v>7037.0</v>
      </c>
      <c r="E95" s="11">
        <v>15.5</v>
      </c>
      <c r="F95" s="11">
        <v>16.4</v>
      </c>
      <c r="G95" s="51" t="str">
        <f t="shared" si="1"/>
        <v>All races, both sexes, 25-34 years</v>
      </c>
      <c r="H95" s="51" t="str">
        <f t="shared" si="2"/>
        <v>All races, both sexes, 25-34 years</v>
      </c>
      <c r="I95" s="52"/>
      <c r="J95" s="5" t="str">
        <f>IFERROR(__xludf.DUMMYFUNCTION("IFERROR(SPLIT(H95, "", "", FALSE, TRUE), )"),"All races")</f>
        <v>All races</v>
      </c>
      <c r="K95" s="5" t="str">
        <f>IFERROR(__xludf.DUMMYFUNCTION("""COMPUTED_VALUE"""),"both sexes")</f>
        <v>both sexes</v>
      </c>
      <c r="L95" s="5" t="str">
        <f>IFERROR(__xludf.DUMMYFUNCTION("""COMPUTED_VALUE"""),"25-34 years")</f>
        <v>25-34 years</v>
      </c>
    </row>
    <row r="96">
      <c r="A96" s="49" t="s">
        <v>89</v>
      </c>
      <c r="B96" s="49" t="s">
        <v>97</v>
      </c>
      <c r="G96" s="51" t="str">
        <f t="shared" si="1"/>
        <v>All races, both sexes, 25-34 years</v>
      </c>
      <c r="H96" s="51" t="str">
        <f t="shared" si="2"/>
        <v/>
      </c>
      <c r="I96" s="52"/>
      <c r="J96" s="5" t="str">
        <f>IFERROR(__xludf.DUMMYFUNCTION("IFERROR(SPLIT(H96, "", "", FALSE, TRUE), )"),"")</f>
        <v/>
      </c>
    </row>
    <row r="97">
      <c r="A97" s="3"/>
      <c r="B97" s="3" t="s">
        <v>3</v>
      </c>
      <c r="C97" s="3" t="s">
        <v>4</v>
      </c>
      <c r="D97" s="3" t="s">
        <v>5</v>
      </c>
      <c r="E97" s="3" t="s">
        <v>6</v>
      </c>
      <c r="F97" s="3" t="s">
        <v>7</v>
      </c>
      <c r="G97" s="51" t="str">
        <f t="shared" si="1"/>
        <v>All races, both sexes, 35-44 years</v>
      </c>
      <c r="H97" s="51" t="str">
        <f t="shared" si="2"/>
        <v/>
      </c>
      <c r="I97" s="52"/>
      <c r="J97" s="5" t="str">
        <f>IFERROR(__xludf.DUMMYFUNCTION("IFERROR(SPLIT(H97, "", "", FALSE, TRUE), )"),"")</f>
        <v/>
      </c>
    </row>
    <row r="98">
      <c r="A98" s="7"/>
      <c r="B98" s="7" t="s">
        <v>12</v>
      </c>
      <c r="C98" s="7" t="s">
        <v>13</v>
      </c>
      <c r="D98" s="53">
        <v>69573.0</v>
      </c>
      <c r="E98" s="11">
        <v>100.0</v>
      </c>
      <c r="F98" s="11">
        <v>172.0</v>
      </c>
      <c r="G98" s="51" t="str">
        <f t="shared" si="1"/>
        <v>All races, both sexes, 35-44 years</v>
      </c>
      <c r="H98" s="51" t="str">
        <f t="shared" si="2"/>
        <v>All races, both sexes, 35-44 years</v>
      </c>
      <c r="I98" s="52"/>
      <c r="J98" s="5" t="str">
        <f>IFERROR(__xludf.DUMMYFUNCTION("IFERROR(SPLIT(H98, "", "", FALSE, TRUE), )"),"All races")</f>
        <v>All races</v>
      </c>
      <c r="K98" s="5" t="str">
        <f>IFERROR(__xludf.DUMMYFUNCTION("""COMPUTED_VALUE"""),"both sexes")</f>
        <v>both sexes</v>
      </c>
      <c r="L98" s="5" t="str">
        <f>IFERROR(__xludf.DUMMYFUNCTION("""COMPUTED_VALUE"""),"35-44 years")</f>
        <v>35-44 years</v>
      </c>
    </row>
    <row r="99">
      <c r="A99" s="11"/>
      <c r="B99" s="11">
        <v>1.0</v>
      </c>
      <c r="C99" s="7" t="s">
        <v>19</v>
      </c>
      <c r="D99" s="53">
        <v>15354.0</v>
      </c>
      <c r="E99" s="11">
        <v>22.1</v>
      </c>
      <c r="F99" s="11">
        <v>38.0</v>
      </c>
      <c r="G99" s="51" t="str">
        <f t="shared" si="1"/>
        <v>All races, both sexes, 35-44 years</v>
      </c>
      <c r="H99" s="51" t="str">
        <f t="shared" si="2"/>
        <v>All races, both sexes, 35-44 years</v>
      </c>
      <c r="I99" s="52"/>
      <c r="J99" s="5" t="str">
        <f>IFERROR(__xludf.DUMMYFUNCTION("IFERROR(SPLIT(H99, "", "", FALSE, TRUE), )"),"All races")</f>
        <v>All races</v>
      </c>
      <c r="K99" s="5" t="str">
        <f>IFERROR(__xludf.DUMMYFUNCTION("""COMPUTED_VALUE"""),"both sexes")</f>
        <v>both sexes</v>
      </c>
      <c r="L99" s="5" t="str">
        <f>IFERROR(__xludf.DUMMYFUNCTION("""COMPUTED_VALUE"""),"35-44 years")</f>
        <v>35-44 years</v>
      </c>
    </row>
    <row r="100">
      <c r="A100" s="11"/>
      <c r="B100" s="11">
        <v>2.0</v>
      </c>
      <c r="C100" s="7" t="s">
        <v>17</v>
      </c>
      <c r="D100" s="53">
        <v>11349.0</v>
      </c>
      <c r="E100" s="11">
        <v>16.3</v>
      </c>
      <c r="F100" s="11">
        <v>28.1</v>
      </c>
      <c r="G100" s="51" t="str">
        <f t="shared" si="1"/>
        <v>All races, both sexes, 35-44 years</v>
      </c>
      <c r="H100" s="51" t="str">
        <f t="shared" si="2"/>
        <v>All races, both sexes, 35-44 years</v>
      </c>
      <c r="I100" s="52"/>
      <c r="J100" s="5" t="str">
        <f>IFERROR(__xludf.DUMMYFUNCTION("IFERROR(SPLIT(H100, "", "", FALSE, TRUE), )"),"All races")</f>
        <v>All races</v>
      </c>
      <c r="K100" s="5" t="str">
        <f>IFERROR(__xludf.DUMMYFUNCTION("""COMPUTED_VALUE"""),"both sexes")</f>
        <v>both sexes</v>
      </c>
      <c r="L100" s="5" t="str">
        <f>IFERROR(__xludf.DUMMYFUNCTION("""COMPUTED_VALUE"""),"35-44 years")</f>
        <v>35-44 years</v>
      </c>
    </row>
    <row r="101">
      <c r="A101" s="11"/>
      <c r="B101" s="11">
        <v>3.0</v>
      </c>
      <c r="C101" s="7" t="s">
        <v>16</v>
      </c>
      <c r="D101" s="53">
        <v>10341.0</v>
      </c>
      <c r="E101" s="11">
        <v>14.9</v>
      </c>
      <c r="F101" s="11">
        <v>25.6</v>
      </c>
      <c r="G101" s="51" t="str">
        <f t="shared" si="1"/>
        <v>All races, both sexes, 35-44 years</v>
      </c>
      <c r="H101" s="51" t="str">
        <f t="shared" si="2"/>
        <v>All races, both sexes, 35-44 years</v>
      </c>
      <c r="I101" s="52"/>
      <c r="J101" s="5" t="str">
        <f>IFERROR(__xludf.DUMMYFUNCTION("IFERROR(SPLIT(H101, "", "", FALSE, TRUE), )"),"All races")</f>
        <v>All races</v>
      </c>
      <c r="K101" s="5" t="str">
        <f>IFERROR(__xludf.DUMMYFUNCTION("""COMPUTED_VALUE"""),"both sexes")</f>
        <v>both sexes</v>
      </c>
      <c r="L101" s="5" t="str">
        <f>IFERROR(__xludf.DUMMYFUNCTION("""COMPUTED_VALUE"""),"35-44 years")</f>
        <v>35-44 years</v>
      </c>
    </row>
    <row r="102">
      <c r="A102" s="11"/>
      <c r="B102" s="11">
        <v>4.0</v>
      </c>
      <c r="C102" s="7" t="s">
        <v>25</v>
      </c>
      <c r="D102" s="53">
        <v>6551.0</v>
      </c>
      <c r="E102" s="11">
        <v>9.4</v>
      </c>
      <c r="F102" s="11">
        <v>16.2</v>
      </c>
      <c r="G102" s="51" t="str">
        <f t="shared" si="1"/>
        <v>All races, both sexes, 35-44 years</v>
      </c>
      <c r="H102" s="51" t="str">
        <f t="shared" si="2"/>
        <v>All races, both sexes, 35-44 years</v>
      </c>
      <c r="I102" s="52"/>
      <c r="J102" s="5" t="str">
        <f>IFERROR(__xludf.DUMMYFUNCTION("IFERROR(SPLIT(H102, "", "", FALSE, TRUE), )"),"All races")</f>
        <v>All races</v>
      </c>
      <c r="K102" s="5" t="str">
        <f>IFERROR(__xludf.DUMMYFUNCTION("""COMPUTED_VALUE"""),"both sexes")</f>
        <v>both sexes</v>
      </c>
      <c r="L102" s="5" t="str">
        <f>IFERROR(__xludf.DUMMYFUNCTION("""COMPUTED_VALUE"""),"35-44 years")</f>
        <v>35-44 years</v>
      </c>
    </row>
    <row r="103">
      <c r="A103" s="11"/>
      <c r="B103" s="11">
        <v>5.0</v>
      </c>
      <c r="C103" s="7" t="s">
        <v>34</v>
      </c>
      <c r="D103" s="53">
        <v>2581.0</v>
      </c>
      <c r="E103" s="11">
        <v>3.7</v>
      </c>
      <c r="F103" s="11">
        <v>6.4</v>
      </c>
      <c r="G103" s="51" t="str">
        <f t="shared" si="1"/>
        <v>All races, both sexes, 35-44 years</v>
      </c>
      <c r="H103" s="51" t="str">
        <f t="shared" si="2"/>
        <v>All races, both sexes, 35-44 years</v>
      </c>
      <c r="I103" s="52"/>
      <c r="J103" s="5" t="str">
        <f>IFERROR(__xludf.DUMMYFUNCTION("IFERROR(SPLIT(H103, "", "", FALSE, TRUE), )"),"All races")</f>
        <v>All races</v>
      </c>
      <c r="K103" s="5" t="str">
        <f>IFERROR(__xludf.DUMMYFUNCTION("""COMPUTED_VALUE"""),"both sexes")</f>
        <v>both sexes</v>
      </c>
      <c r="L103" s="5" t="str">
        <f>IFERROR(__xludf.DUMMYFUNCTION("""COMPUTED_VALUE"""),"35-44 years")</f>
        <v>35-44 years</v>
      </c>
    </row>
    <row r="104">
      <c r="A104" s="11"/>
      <c r="B104" s="11">
        <v>6.0</v>
      </c>
      <c r="C104" s="7" t="s">
        <v>27</v>
      </c>
      <c r="D104" s="53">
        <v>2491.0</v>
      </c>
      <c r="E104" s="11">
        <v>3.6</v>
      </c>
      <c r="F104" s="11">
        <v>6.2</v>
      </c>
      <c r="G104" s="51" t="str">
        <f t="shared" si="1"/>
        <v>All races, both sexes, 35-44 years</v>
      </c>
      <c r="H104" s="51" t="str">
        <f t="shared" si="2"/>
        <v>All races, both sexes, 35-44 years</v>
      </c>
      <c r="I104" s="52"/>
      <c r="J104" s="5" t="str">
        <f>IFERROR(__xludf.DUMMYFUNCTION("IFERROR(SPLIT(H104, "", "", FALSE, TRUE), )"),"All races")</f>
        <v>All races</v>
      </c>
      <c r="K104" s="5" t="str">
        <f>IFERROR(__xludf.DUMMYFUNCTION("""COMPUTED_VALUE"""),"both sexes")</f>
        <v>both sexes</v>
      </c>
      <c r="L104" s="5" t="str">
        <f>IFERROR(__xludf.DUMMYFUNCTION("""COMPUTED_VALUE"""),"35-44 years")</f>
        <v>35-44 years</v>
      </c>
    </row>
    <row r="105">
      <c r="A105" s="11"/>
      <c r="B105" s="11">
        <v>7.0</v>
      </c>
      <c r="C105" s="7" t="s">
        <v>22</v>
      </c>
      <c r="D105" s="53">
        <v>1952.0</v>
      </c>
      <c r="E105" s="11">
        <v>2.8</v>
      </c>
      <c r="F105" s="11">
        <v>4.8</v>
      </c>
      <c r="G105" s="51" t="str">
        <f t="shared" si="1"/>
        <v>All races, both sexes, 35-44 years</v>
      </c>
      <c r="H105" s="51" t="str">
        <f t="shared" si="2"/>
        <v>All races, both sexes, 35-44 years</v>
      </c>
      <c r="I105" s="52"/>
      <c r="J105" s="5" t="str">
        <f>IFERROR(__xludf.DUMMYFUNCTION("IFERROR(SPLIT(H105, "", "", FALSE, TRUE), )"),"All races")</f>
        <v>All races</v>
      </c>
      <c r="K105" s="5" t="str">
        <f>IFERROR(__xludf.DUMMYFUNCTION("""COMPUTED_VALUE"""),"both sexes")</f>
        <v>both sexes</v>
      </c>
      <c r="L105" s="5" t="str">
        <f>IFERROR(__xludf.DUMMYFUNCTION("""COMPUTED_VALUE"""),"35-44 years")</f>
        <v>35-44 years</v>
      </c>
    </row>
    <row r="106">
      <c r="A106" s="11"/>
      <c r="B106" s="11">
        <v>8.0</v>
      </c>
      <c r="C106" s="7" t="s">
        <v>20</v>
      </c>
      <c r="D106" s="53">
        <v>1687.0</v>
      </c>
      <c r="E106" s="11">
        <v>2.4</v>
      </c>
      <c r="F106" s="11">
        <v>4.2</v>
      </c>
      <c r="G106" s="51" t="str">
        <f t="shared" si="1"/>
        <v>All races, both sexes, 35-44 years</v>
      </c>
      <c r="H106" s="51" t="str">
        <f t="shared" si="2"/>
        <v>All races, both sexes, 35-44 years</v>
      </c>
      <c r="I106" s="52"/>
      <c r="J106" s="5" t="str">
        <f>IFERROR(__xludf.DUMMYFUNCTION("IFERROR(SPLIT(H106, "", "", FALSE, TRUE), )"),"All races")</f>
        <v>All races</v>
      </c>
      <c r="K106" s="5" t="str">
        <f>IFERROR(__xludf.DUMMYFUNCTION("""COMPUTED_VALUE"""),"both sexes")</f>
        <v>both sexes</v>
      </c>
      <c r="L106" s="5" t="str">
        <f>IFERROR(__xludf.DUMMYFUNCTION("""COMPUTED_VALUE"""),"35-44 years")</f>
        <v>35-44 years</v>
      </c>
    </row>
    <row r="107">
      <c r="A107" s="11"/>
      <c r="B107" s="11">
        <v>9.0</v>
      </c>
      <c r="C107" s="7" t="s">
        <v>44</v>
      </c>
      <c r="D107" s="53">
        <v>1246.0</v>
      </c>
      <c r="E107" s="11">
        <v>1.8</v>
      </c>
      <c r="F107" s="11">
        <v>3.1</v>
      </c>
      <c r="G107" s="51" t="str">
        <f t="shared" si="1"/>
        <v>All races, both sexes, 35-44 years</v>
      </c>
      <c r="H107" s="51" t="str">
        <f t="shared" si="2"/>
        <v>All races, both sexes, 35-44 years</v>
      </c>
      <c r="I107" s="52"/>
      <c r="J107" s="5" t="str">
        <f>IFERROR(__xludf.DUMMYFUNCTION("IFERROR(SPLIT(H107, "", "", FALSE, TRUE), )"),"All races")</f>
        <v>All races</v>
      </c>
      <c r="K107" s="5" t="str">
        <f>IFERROR(__xludf.DUMMYFUNCTION("""COMPUTED_VALUE"""),"both sexes")</f>
        <v>both sexes</v>
      </c>
      <c r="L107" s="5" t="str">
        <f>IFERROR(__xludf.DUMMYFUNCTION("""COMPUTED_VALUE"""),"35-44 years")</f>
        <v>35-44 years</v>
      </c>
    </row>
    <row r="108">
      <c r="A108" s="11"/>
      <c r="B108" s="11">
        <v>10.0</v>
      </c>
      <c r="C108" s="7" t="s">
        <v>23</v>
      </c>
      <c r="D108" s="11">
        <v>881.0</v>
      </c>
      <c r="E108" s="11">
        <v>1.3</v>
      </c>
      <c r="F108" s="11">
        <v>2.2</v>
      </c>
      <c r="G108" s="51" t="str">
        <f t="shared" si="1"/>
        <v>All races, both sexes, 35-44 years</v>
      </c>
      <c r="H108" s="51" t="str">
        <f t="shared" si="2"/>
        <v>All races, both sexes, 35-44 years</v>
      </c>
      <c r="I108" s="52"/>
      <c r="J108" s="5" t="str">
        <f>IFERROR(__xludf.DUMMYFUNCTION("IFERROR(SPLIT(H108, "", "", FALSE, TRUE), )"),"All races")</f>
        <v>All races</v>
      </c>
      <c r="K108" s="5" t="str">
        <f>IFERROR(__xludf.DUMMYFUNCTION("""COMPUTED_VALUE"""),"both sexes")</f>
        <v>both sexes</v>
      </c>
      <c r="L108" s="5" t="str">
        <f>IFERROR(__xludf.DUMMYFUNCTION("""COMPUTED_VALUE"""),"35-44 years")</f>
        <v>35-44 years</v>
      </c>
    </row>
    <row r="109">
      <c r="A109" s="11"/>
      <c r="B109" s="11">
        <v>11.0</v>
      </c>
      <c r="C109" s="7" t="s">
        <v>26</v>
      </c>
      <c r="D109" s="11">
        <v>820.0</v>
      </c>
      <c r="E109" s="11">
        <v>1.2</v>
      </c>
      <c r="F109" s="11">
        <v>2.0</v>
      </c>
      <c r="G109" s="51" t="str">
        <f t="shared" si="1"/>
        <v>All races, both sexes, 35-44 years</v>
      </c>
      <c r="H109" s="51" t="str">
        <f t="shared" si="2"/>
        <v>All races, both sexes, 35-44 years</v>
      </c>
      <c r="I109" s="52"/>
      <c r="J109" s="5" t="str">
        <f>IFERROR(__xludf.DUMMYFUNCTION("IFERROR(SPLIT(H109, "", "", FALSE, TRUE), )"),"All races")</f>
        <v>All races</v>
      </c>
      <c r="K109" s="5" t="str">
        <f>IFERROR(__xludf.DUMMYFUNCTION("""COMPUTED_VALUE"""),"both sexes")</f>
        <v>both sexes</v>
      </c>
      <c r="L109" s="5" t="str">
        <f>IFERROR(__xludf.DUMMYFUNCTION("""COMPUTED_VALUE"""),"35-44 years")</f>
        <v>35-44 years</v>
      </c>
    </row>
    <row r="110">
      <c r="A110" s="11"/>
      <c r="B110" s="11">
        <v>12.0</v>
      </c>
      <c r="C110" s="7" t="s">
        <v>18</v>
      </c>
      <c r="D110" s="11">
        <v>760.0</v>
      </c>
      <c r="E110" s="11">
        <v>1.1</v>
      </c>
      <c r="F110" s="11">
        <v>1.9</v>
      </c>
      <c r="G110" s="51" t="str">
        <f t="shared" si="1"/>
        <v>All races, both sexes, 35-44 years</v>
      </c>
      <c r="H110" s="51" t="str">
        <f t="shared" si="2"/>
        <v>All races, both sexes, 35-44 years</v>
      </c>
      <c r="I110" s="52"/>
      <c r="J110" s="5" t="str">
        <f>IFERROR(__xludf.DUMMYFUNCTION("IFERROR(SPLIT(H110, "", "", FALSE, TRUE), )"),"All races")</f>
        <v>All races</v>
      </c>
      <c r="K110" s="5" t="str">
        <f>IFERROR(__xludf.DUMMYFUNCTION("""COMPUTED_VALUE"""),"both sexes")</f>
        <v>both sexes</v>
      </c>
      <c r="L110" s="5" t="str">
        <f>IFERROR(__xludf.DUMMYFUNCTION("""COMPUTED_VALUE"""),"35-44 years")</f>
        <v>35-44 years</v>
      </c>
    </row>
    <row r="111">
      <c r="A111" s="11"/>
      <c r="B111" s="11">
        <v>13.0</v>
      </c>
      <c r="C111" s="7" t="s">
        <v>24</v>
      </c>
      <c r="D111" s="11">
        <v>627.0</v>
      </c>
      <c r="E111" s="11">
        <v>0.9</v>
      </c>
      <c r="F111" s="11">
        <v>1.5</v>
      </c>
      <c r="G111" s="51" t="str">
        <f t="shared" si="1"/>
        <v>All races, both sexes, 35-44 years</v>
      </c>
      <c r="H111" s="51" t="str">
        <f t="shared" si="2"/>
        <v>All races, both sexes, 35-44 years</v>
      </c>
      <c r="I111" s="52"/>
      <c r="J111" s="5" t="str">
        <f>IFERROR(__xludf.DUMMYFUNCTION("IFERROR(SPLIT(H111, "", "", FALSE, TRUE), )"),"All races")</f>
        <v>All races</v>
      </c>
      <c r="K111" s="5" t="str">
        <f>IFERROR(__xludf.DUMMYFUNCTION("""COMPUTED_VALUE"""),"both sexes")</f>
        <v>both sexes</v>
      </c>
      <c r="L111" s="5" t="str">
        <f>IFERROR(__xludf.DUMMYFUNCTION("""COMPUTED_VALUE"""),"35-44 years")</f>
        <v>35-44 years</v>
      </c>
    </row>
    <row r="112">
      <c r="A112" s="11"/>
      <c r="B112" s="11">
        <v>14.0</v>
      </c>
      <c r="C112" s="7" t="s">
        <v>33</v>
      </c>
      <c r="D112" s="11">
        <v>441.0</v>
      </c>
      <c r="E112" s="11">
        <v>0.6</v>
      </c>
      <c r="F112" s="11">
        <v>1.1</v>
      </c>
      <c r="G112" s="51" t="str">
        <f t="shared" si="1"/>
        <v>All races, both sexes, 35-44 years</v>
      </c>
      <c r="H112" s="51" t="str">
        <f t="shared" si="2"/>
        <v>All races, both sexes, 35-44 years</v>
      </c>
      <c r="I112" s="52"/>
      <c r="J112" s="5" t="str">
        <f>IFERROR(__xludf.DUMMYFUNCTION("IFERROR(SPLIT(H112, "", "", FALSE, TRUE), )"),"All races")</f>
        <v>All races</v>
      </c>
      <c r="K112" s="5" t="str">
        <f>IFERROR(__xludf.DUMMYFUNCTION("""COMPUTED_VALUE"""),"both sexes")</f>
        <v>both sexes</v>
      </c>
      <c r="L112" s="5" t="str">
        <f>IFERROR(__xludf.DUMMYFUNCTION("""COMPUTED_VALUE"""),"35-44 years")</f>
        <v>35-44 years</v>
      </c>
    </row>
    <row r="113">
      <c r="A113" s="11"/>
      <c r="B113" s="11">
        <v>15.0</v>
      </c>
      <c r="C113" s="7" t="s">
        <v>28</v>
      </c>
      <c r="D113" s="11">
        <v>409.0</v>
      </c>
      <c r="E113" s="11">
        <v>0.6</v>
      </c>
      <c r="F113" s="11">
        <v>1.0</v>
      </c>
      <c r="G113" s="51" t="str">
        <f t="shared" si="1"/>
        <v>All races, both sexes, 35-44 years</v>
      </c>
      <c r="H113" s="51" t="str">
        <f t="shared" si="2"/>
        <v>All races, both sexes, 35-44 years</v>
      </c>
      <c r="I113" s="52"/>
      <c r="J113" s="5" t="str">
        <f>IFERROR(__xludf.DUMMYFUNCTION("IFERROR(SPLIT(H113, "", "", FALSE, TRUE), )"),"All races")</f>
        <v>All races</v>
      </c>
      <c r="K113" s="5" t="str">
        <f>IFERROR(__xludf.DUMMYFUNCTION("""COMPUTED_VALUE"""),"both sexes")</f>
        <v>both sexes</v>
      </c>
      <c r="L113" s="5" t="str">
        <f>IFERROR(__xludf.DUMMYFUNCTION("""COMPUTED_VALUE"""),"35-44 years")</f>
        <v>35-44 years</v>
      </c>
    </row>
    <row r="114">
      <c r="A114" s="7"/>
      <c r="B114" s="7" t="s">
        <v>12</v>
      </c>
      <c r="C114" s="7" t="s">
        <v>31</v>
      </c>
      <c r="D114" s="53">
        <v>12083.0</v>
      </c>
      <c r="E114" s="11">
        <v>17.4</v>
      </c>
      <c r="F114" s="11">
        <v>29.9</v>
      </c>
      <c r="G114" s="51" t="str">
        <f t="shared" si="1"/>
        <v>All races, both sexes, 35-44 years</v>
      </c>
      <c r="H114" s="51" t="str">
        <f t="shared" si="2"/>
        <v>All races, both sexes, 35-44 years</v>
      </c>
      <c r="I114" s="52"/>
      <c r="J114" s="5" t="str">
        <f>IFERROR(__xludf.DUMMYFUNCTION("IFERROR(SPLIT(H114, "", "", FALSE, TRUE), )"),"All races")</f>
        <v>All races</v>
      </c>
      <c r="K114" s="5" t="str">
        <f>IFERROR(__xludf.DUMMYFUNCTION("""COMPUTED_VALUE"""),"both sexes")</f>
        <v>both sexes</v>
      </c>
      <c r="L114" s="5" t="str">
        <f>IFERROR(__xludf.DUMMYFUNCTION("""COMPUTED_VALUE"""),"35-44 years")</f>
        <v>35-44 years</v>
      </c>
    </row>
    <row r="115">
      <c r="A115" s="49" t="s">
        <v>89</v>
      </c>
      <c r="B115" s="49" t="s">
        <v>98</v>
      </c>
      <c r="G115" s="51" t="str">
        <f t="shared" si="1"/>
        <v>All races, both sexes, 35-44 years</v>
      </c>
      <c r="H115" s="51" t="str">
        <f t="shared" si="2"/>
        <v/>
      </c>
      <c r="I115" s="52"/>
      <c r="J115" s="5" t="str">
        <f>IFERROR(__xludf.DUMMYFUNCTION("IFERROR(SPLIT(H115, "", "", FALSE, TRUE), )"),"")</f>
        <v/>
      </c>
    </row>
    <row r="116">
      <c r="A116" s="3"/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  <c r="G116" s="51" t="str">
        <f t="shared" si="1"/>
        <v>All races, both sexes, 45-54 years</v>
      </c>
      <c r="H116" s="51" t="str">
        <f t="shared" si="2"/>
        <v/>
      </c>
      <c r="I116" s="52"/>
      <c r="J116" s="5" t="str">
        <f>IFERROR(__xludf.DUMMYFUNCTION("IFERROR(SPLIT(H116, "", "", FALSE, TRUE), )"),"")</f>
        <v/>
      </c>
    </row>
    <row r="117">
      <c r="A117" s="7"/>
      <c r="B117" s="7" t="s">
        <v>12</v>
      </c>
      <c r="C117" s="7" t="s">
        <v>13</v>
      </c>
      <c r="D117" s="53">
        <v>177724.0</v>
      </c>
      <c r="E117" s="11">
        <v>100.0</v>
      </c>
      <c r="F117" s="11">
        <v>406.1</v>
      </c>
      <c r="G117" s="51" t="str">
        <f t="shared" si="1"/>
        <v>All races, both sexes, 45-54 years</v>
      </c>
      <c r="H117" s="51" t="str">
        <f t="shared" si="2"/>
        <v>All races, both sexes, 45-54 years</v>
      </c>
      <c r="I117" s="52"/>
      <c r="J117" s="5" t="str">
        <f>IFERROR(__xludf.DUMMYFUNCTION("IFERROR(SPLIT(H117, "", "", FALSE, TRUE), )"),"All races")</f>
        <v>All races</v>
      </c>
      <c r="K117" s="5" t="str">
        <f>IFERROR(__xludf.DUMMYFUNCTION("""COMPUTED_VALUE"""),"both sexes")</f>
        <v>both sexes</v>
      </c>
      <c r="L117" s="5" t="str">
        <f>IFERROR(__xludf.DUMMYFUNCTION("""COMPUTED_VALUE"""),"45-54 years")</f>
        <v>45-54 years</v>
      </c>
    </row>
    <row r="118">
      <c r="A118" s="11"/>
      <c r="B118" s="11">
        <v>1.0</v>
      </c>
      <c r="C118" s="7" t="s">
        <v>17</v>
      </c>
      <c r="D118" s="53">
        <v>46185.0</v>
      </c>
      <c r="E118" s="11">
        <v>26.0</v>
      </c>
      <c r="F118" s="11">
        <v>105.5</v>
      </c>
      <c r="G118" s="51" t="str">
        <f t="shared" si="1"/>
        <v>All races, both sexes, 45-54 years</v>
      </c>
      <c r="H118" s="51" t="str">
        <f t="shared" si="2"/>
        <v>All races, both sexes, 45-54 years</v>
      </c>
      <c r="I118" s="52"/>
      <c r="J118" s="5" t="str">
        <f>IFERROR(__xludf.DUMMYFUNCTION("IFERROR(SPLIT(H118, "", "", FALSE, TRUE), )"),"All races")</f>
        <v>All races</v>
      </c>
      <c r="K118" s="5" t="str">
        <f>IFERROR(__xludf.DUMMYFUNCTION("""COMPUTED_VALUE"""),"both sexes")</f>
        <v>both sexes</v>
      </c>
      <c r="L118" s="5" t="str">
        <f>IFERROR(__xludf.DUMMYFUNCTION("""COMPUTED_VALUE"""),"45-54 years")</f>
        <v>45-54 years</v>
      </c>
    </row>
    <row r="119">
      <c r="A119" s="11"/>
      <c r="B119" s="11">
        <v>2.0</v>
      </c>
      <c r="C119" s="7" t="s">
        <v>16</v>
      </c>
      <c r="D119" s="53">
        <v>35167.0</v>
      </c>
      <c r="E119" s="11">
        <v>19.8</v>
      </c>
      <c r="F119" s="11">
        <v>80.3</v>
      </c>
      <c r="G119" s="51" t="str">
        <f t="shared" si="1"/>
        <v>All races, both sexes, 45-54 years</v>
      </c>
      <c r="H119" s="51" t="str">
        <f t="shared" si="2"/>
        <v>All races, both sexes, 45-54 years</v>
      </c>
      <c r="I119" s="52"/>
      <c r="J119" s="5" t="str">
        <f>IFERROR(__xludf.DUMMYFUNCTION("IFERROR(SPLIT(H119, "", "", FALSE, TRUE), )"),"All races")</f>
        <v>All races</v>
      </c>
      <c r="K119" s="5" t="str">
        <f>IFERROR(__xludf.DUMMYFUNCTION("""COMPUTED_VALUE"""),"both sexes")</f>
        <v>both sexes</v>
      </c>
      <c r="L119" s="5" t="str">
        <f>IFERROR(__xludf.DUMMYFUNCTION("""COMPUTED_VALUE"""),"45-54 years")</f>
        <v>45-54 years</v>
      </c>
    </row>
    <row r="120">
      <c r="A120" s="11"/>
      <c r="B120" s="11">
        <v>3.0</v>
      </c>
      <c r="C120" s="7" t="s">
        <v>19</v>
      </c>
      <c r="D120" s="53">
        <v>20357.0</v>
      </c>
      <c r="E120" s="11">
        <v>11.5</v>
      </c>
      <c r="F120" s="11">
        <v>46.5</v>
      </c>
      <c r="G120" s="51" t="str">
        <f t="shared" si="1"/>
        <v>All races, both sexes, 45-54 years</v>
      </c>
      <c r="H120" s="51" t="str">
        <f t="shared" si="2"/>
        <v>All races, both sexes, 45-54 years</v>
      </c>
      <c r="I120" s="52"/>
      <c r="J120" s="5" t="str">
        <f>IFERROR(__xludf.DUMMYFUNCTION("IFERROR(SPLIT(H120, "", "", FALSE, TRUE), )"),"All races")</f>
        <v>All races</v>
      </c>
      <c r="K120" s="5" t="str">
        <f>IFERROR(__xludf.DUMMYFUNCTION("""COMPUTED_VALUE"""),"both sexes")</f>
        <v>both sexes</v>
      </c>
      <c r="L120" s="5" t="str">
        <f>IFERROR(__xludf.DUMMYFUNCTION("""COMPUTED_VALUE"""),"45-54 years")</f>
        <v>45-54 years</v>
      </c>
    </row>
    <row r="121">
      <c r="A121" s="11"/>
      <c r="B121" s="11">
        <v>4.0</v>
      </c>
      <c r="C121" s="7" t="s">
        <v>27</v>
      </c>
      <c r="D121" s="53">
        <v>8785.0</v>
      </c>
      <c r="E121" s="11">
        <v>4.9</v>
      </c>
      <c r="F121" s="11">
        <v>20.1</v>
      </c>
      <c r="G121" s="51" t="str">
        <f t="shared" si="1"/>
        <v>All races, both sexes, 45-54 years</v>
      </c>
      <c r="H121" s="51" t="str">
        <f t="shared" si="2"/>
        <v>All races, both sexes, 45-54 years</v>
      </c>
      <c r="I121" s="52"/>
      <c r="J121" s="5" t="str">
        <f>IFERROR(__xludf.DUMMYFUNCTION("IFERROR(SPLIT(H121, "", "", FALSE, TRUE), )"),"All races")</f>
        <v>All races</v>
      </c>
      <c r="K121" s="5" t="str">
        <f>IFERROR(__xludf.DUMMYFUNCTION("""COMPUTED_VALUE"""),"both sexes")</f>
        <v>both sexes</v>
      </c>
      <c r="L121" s="5" t="str">
        <f>IFERROR(__xludf.DUMMYFUNCTION("""COMPUTED_VALUE"""),"45-54 years")</f>
        <v>45-54 years</v>
      </c>
    </row>
    <row r="122">
      <c r="A122" s="11"/>
      <c r="B122" s="11">
        <v>5.0</v>
      </c>
      <c r="C122" s="7" t="s">
        <v>25</v>
      </c>
      <c r="D122" s="53">
        <v>8621.0</v>
      </c>
      <c r="E122" s="11">
        <v>4.9</v>
      </c>
      <c r="F122" s="11">
        <v>19.7</v>
      </c>
      <c r="G122" s="51" t="str">
        <f t="shared" si="1"/>
        <v>All races, both sexes, 45-54 years</v>
      </c>
      <c r="H122" s="51" t="str">
        <f t="shared" si="2"/>
        <v>All races, both sexes, 45-54 years</v>
      </c>
      <c r="I122" s="52"/>
      <c r="J122" s="5" t="str">
        <f>IFERROR(__xludf.DUMMYFUNCTION("IFERROR(SPLIT(H122, "", "", FALSE, TRUE), )"),"All races")</f>
        <v>All races</v>
      </c>
      <c r="K122" s="5" t="str">
        <f>IFERROR(__xludf.DUMMYFUNCTION("""COMPUTED_VALUE"""),"both sexes")</f>
        <v>both sexes</v>
      </c>
      <c r="L122" s="5" t="str">
        <f>IFERROR(__xludf.DUMMYFUNCTION("""COMPUTED_VALUE"""),"45-54 years")</f>
        <v>45-54 years</v>
      </c>
    </row>
    <row r="123">
      <c r="A123" s="11"/>
      <c r="B123" s="11">
        <v>6.0</v>
      </c>
      <c r="C123" s="7" t="s">
        <v>22</v>
      </c>
      <c r="D123" s="53">
        <v>5899.0</v>
      </c>
      <c r="E123" s="11">
        <v>3.3</v>
      </c>
      <c r="F123" s="11">
        <v>13.5</v>
      </c>
      <c r="G123" s="51" t="str">
        <f t="shared" si="1"/>
        <v>All races, both sexes, 45-54 years</v>
      </c>
      <c r="H123" s="51" t="str">
        <f t="shared" si="2"/>
        <v>All races, both sexes, 45-54 years</v>
      </c>
      <c r="I123" s="52"/>
      <c r="J123" s="5" t="str">
        <f>IFERROR(__xludf.DUMMYFUNCTION("IFERROR(SPLIT(H123, "", "", FALSE, TRUE), )"),"All races")</f>
        <v>All races</v>
      </c>
      <c r="K123" s="5" t="str">
        <f>IFERROR(__xludf.DUMMYFUNCTION("""COMPUTED_VALUE"""),"both sexes")</f>
        <v>both sexes</v>
      </c>
      <c r="L123" s="5" t="str">
        <f>IFERROR(__xludf.DUMMYFUNCTION("""COMPUTED_VALUE"""),"45-54 years")</f>
        <v>45-54 years</v>
      </c>
    </row>
    <row r="124">
      <c r="A124" s="11"/>
      <c r="B124" s="11">
        <v>7.0</v>
      </c>
      <c r="C124" s="7" t="s">
        <v>20</v>
      </c>
      <c r="D124" s="53">
        <v>5425.0</v>
      </c>
      <c r="E124" s="11">
        <v>3.1</v>
      </c>
      <c r="F124" s="11">
        <v>12.4</v>
      </c>
      <c r="G124" s="51" t="str">
        <f t="shared" si="1"/>
        <v>All races, both sexes, 45-54 years</v>
      </c>
      <c r="H124" s="51" t="str">
        <f t="shared" si="2"/>
        <v>All races, both sexes, 45-54 years</v>
      </c>
      <c r="I124" s="52"/>
      <c r="J124" s="5" t="str">
        <f>IFERROR(__xludf.DUMMYFUNCTION("IFERROR(SPLIT(H124, "", "", FALSE, TRUE), )"),"All races")</f>
        <v>All races</v>
      </c>
      <c r="K124" s="5" t="str">
        <f>IFERROR(__xludf.DUMMYFUNCTION("""COMPUTED_VALUE"""),"both sexes")</f>
        <v>both sexes</v>
      </c>
      <c r="L124" s="5" t="str">
        <f>IFERROR(__xludf.DUMMYFUNCTION("""COMPUTED_VALUE"""),"45-54 years")</f>
        <v>45-54 years</v>
      </c>
    </row>
    <row r="125">
      <c r="A125" s="11"/>
      <c r="B125" s="11">
        <v>8.0</v>
      </c>
      <c r="C125" s="7" t="s">
        <v>18</v>
      </c>
      <c r="D125" s="53">
        <v>4619.0</v>
      </c>
      <c r="E125" s="11">
        <v>2.6</v>
      </c>
      <c r="F125" s="11">
        <v>10.6</v>
      </c>
      <c r="G125" s="51" t="str">
        <f t="shared" si="1"/>
        <v>All races, both sexes, 45-54 years</v>
      </c>
      <c r="H125" s="51" t="str">
        <f t="shared" si="2"/>
        <v>All races, both sexes, 45-54 years</v>
      </c>
      <c r="I125" s="52"/>
      <c r="J125" s="5" t="str">
        <f>IFERROR(__xludf.DUMMYFUNCTION("IFERROR(SPLIT(H125, "", "", FALSE, TRUE), )"),"All races")</f>
        <v>All races</v>
      </c>
      <c r="K125" s="5" t="str">
        <f>IFERROR(__xludf.DUMMYFUNCTION("""COMPUTED_VALUE"""),"both sexes")</f>
        <v>both sexes</v>
      </c>
      <c r="L125" s="5" t="str">
        <f>IFERROR(__xludf.DUMMYFUNCTION("""COMPUTED_VALUE"""),"45-54 years")</f>
        <v>45-54 years</v>
      </c>
    </row>
    <row r="126">
      <c r="A126" s="11"/>
      <c r="B126" s="11">
        <v>9.0</v>
      </c>
      <c r="C126" s="7" t="s">
        <v>26</v>
      </c>
      <c r="D126" s="53">
        <v>2445.0</v>
      </c>
      <c r="E126" s="11">
        <v>1.4</v>
      </c>
      <c r="F126" s="11">
        <v>5.6</v>
      </c>
      <c r="G126" s="51" t="str">
        <f t="shared" si="1"/>
        <v>All races, both sexes, 45-54 years</v>
      </c>
      <c r="H126" s="51" t="str">
        <f t="shared" si="2"/>
        <v>All races, both sexes, 45-54 years</v>
      </c>
      <c r="I126" s="52"/>
      <c r="J126" s="5" t="str">
        <f>IFERROR(__xludf.DUMMYFUNCTION("IFERROR(SPLIT(H126, "", "", FALSE, TRUE), )"),"All races")</f>
        <v>All races</v>
      </c>
      <c r="K126" s="5" t="str">
        <f>IFERROR(__xludf.DUMMYFUNCTION("""COMPUTED_VALUE"""),"both sexes")</f>
        <v>both sexes</v>
      </c>
      <c r="L126" s="5" t="str">
        <f>IFERROR(__xludf.DUMMYFUNCTION("""COMPUTED_VALUE"""),"45-54 years")</f>
        <v>45-54 years</v>
      </c>
    </row>
    <row r="127">
      <c r="A127" s="11"/>
      <c r="B127" s="11">
        <v>10.0</v>
      </c>
      <c r="C127" s="7" t="s">
        <v>44</v>
      </c>
      <c r="D127" s="53">
        <v>2378.0</v>
      </c>
      <c r="E127" s="11">
        <v>1.3</v>
      </c>
      <c r="F127" s="11">
        <v>5.4</v>
      </c>
      <c r="G127" s="51" t="str">
        <f t="shared" si="1"/>
        <v>All races, both sexes, 45-54 years</v>
      </c>
      <c r="H127" s="51" t="str">
        <f t="shared" si="2"/>
        <v>All races, both sexes, 45-54 years</v>
      </c>
      <c r="I127" s="52"/>
      <c r="J127" s="5" t="str">
        <f>IFERROR(__xludf.DUMMYFUNCTION("IFERROR(SPLIT(H127, "", "", FALSE, TRUE), )"),"All races")</f>
        <v>All races</v>
      </c>
      <c r="K127" s="5" t="str">
        <f>IFERROR(__xludf.DUMMYFUNCTION("""COMPUTED_VALUE"""),"both sexes")</f>
        <v>both sexes</v>
      </c>
      <c r="L127" s="5" t="str">
        <f>IFERROR(__xludf.DUMMYFUNCTION("""COMPUTED_VALUE"""),"45-54 years")</f>
        <v>45-54 years</v>
      </c>
    </row>
    <row r="128">
      <c r="A128" s="11"/>
      <c r="B128" s="11">
        <v>11.0</v>
      </c>
      <c r="C128" s="7" t="s">
        <v>23</v>
      </c>
      <c r="D128" s="53">
        <v>2233.0</v>
      </c>
      <c r="E128" s="11">
        <v>1.3</v>
      </c>
      <c r="F128" s="11">
        <v>5.1</v>
      </c>
      <c r="G128" s="51" t="str">
        <f t="shared" si="1"/>
        <v>All races, both sexes, 45-54 years</v>
      </c>
      <c r="H128" s="51" t="str">
        <f t="shared" si="2"/>
        <v>All races, both sexes, 45-54 years</v>
      </c>
      <c r="I128" s="52"/>
      <c r="J128" s="5" t="str">
        <f>IFERROR(__xludf.DUMMYFUNCTION("IFERROR(SPLIT(H128, "", "", FALSE, TRUE), )"),"All races")</f>
        <v>All races</v>
      </c>
      <c r="K128" s="5" t="str">
        <f>IFERROR(__xludf.DUMMYFUNCTION("""COMPUTED_VALUE"""),"both sexes")</f>
        <v>both sexes</v>
      </c>
      <c r="L128" s="5" t="str">
        <f>IFERROR(__xludf.DUMMYFUNCTION("""COMPUTED_VALUE"""),"45-54 years")</f>
        <v>45-54 years</v>
      </c>
    </row>
    <row r="129">
      <c r="A129" s="11"/>
      <c r="B129" s="11">
        <v>12.0</v>
      </c>
      <c r="C129" s="7" t="s">
        <v>24</v>
      </c>
      <c r="D129" s="53">
        <v>2025.0</v>
      </c>
      <c r="E129" s="11">
        <v>1.1</v>
      </c>
      <c r="F129" s="11">
        <v>4.6</v>
      </c>
      <c r="G129" s="51" t="str">
        <f t="shared" si="1"/>
        <v>All races, both sexes, 45-54 years</v>
      </c>
      <c r="H129" s="51" t="str">
        <f t="shared" si="2"/>
        <v>All races, both sexes, 45-54 years</v>
      </c>
      <c r="I129" s="52"/>
      <c r="J129" s="5" t="str">
        <f>IFERROR(__xludf.DUMMYFUNCTION("IFERROR(SPLIT(H129, "", "", FALSE, TRUE), )"),"All races")</f>
        <v>All races</v>
      </c>
      <c r="K129" s="5" t="str">
        <f>IFERROR(__xludf.DUMMYFUNCTION("""COMPUTED_VALUE"""),"both sexes")</f>
        <v>both sexes</v>
      </c>
      <c r="L129" s="5" t="str">
        <f>IFERROR(__xludf.DUMMYFUNCTION("""COMPUTED_VALUE"""),"45-54 years")</f>
        <v>45-54 years</v>
      </c>
    </row>
    <row r="130">
      <c r="A130" s="11"/>
      <c r="B130" s="11">
        <v>13.0</v>
      </c>
      <c r="C130" s="7" t="s">
        <v>34</v>
      </c>
      <c r="D130" s="53">
        <v>1989.0</v>
      </c>
      <c r="E130" s="11">
        <v>1.1</v>
      </c>
      <c r="F130" s="11">
        <v>4.5</v>
      </c>
      <c r="G130" s="51" t="str">
        <f t="shared" si="1"/>
        <v>All races, both sexes, 45-54 years</v>
      </c>
      <c r="H130" s="51" t="str">
        <f t="shared" si="2"/>
        <v>All races, both sexes, 45-54 years</v>
      </c>
      <c r="I130" s="52"/>
      <c r="J130" s="5" t="str">
        <f>IFERROR(__xludf.DUMMYFUNCTION("IFERROR(SPLIT(H130, "", "", FALSE, TRUE), )"),"All races")</f>
        <v>All races</v>
      </c>
      <c r="K130" s="5" t="str">
        <f>IFERROR(__xludf.DUMMYFUNCTION("""COMPUTED_VALUE"""),"both sexes")</f>
        <v>both sexes</v>
      </c>
      <c r="L130" s="5" t="str">
        <f>IFERROR(__xludf.DUMMYFUNCTION("""COMPUTED_VALUE"""),"45-54 years")</f>
        <v>45-54 years</v>
      </c>
    </row>
    <row r="131">
      <c r="A131" s="11"/>
      <c r="B131" s="11">
        <v>14.0</v>
      </c>
      <c r="C131" s="7" t="s">
        <v>49</v>
      </c>
      <c r="D131" s="53">
        <v>1911.0</v>
      </c>
      <c r="E131" s="11">
        <v>1.1</v>
      </c>
      <c r="F131" s="11">
        <v>4.4</v>
      </c>
      <c r="G131" s="51" t="str">
        <f t="shared" si="1"/>
        <v>All races, both sexes, 45-54 years</v>
      </c>
      <c r="H131" s="51" t="str">
        <f t="shared" si="2"/>
        <v>All races, both sexes, 45-54 years</v>
      </c>
      <c r="I131" s="52"/>
      <c r="J131" s="5" t="str">
        <f>IFERROR(__xludf.DUMMYFUNCTION("IFERROR(SPLIT(H131, "", "", FALSE, TRUE), )"),"All races")</f>
        <v>All races</v>
      </c>
      <c r="K131" s="5" t="str">
        <f>IFERROR(__xludf.DUMMYFUNCTION("""COMPUTED_VALUE"""),"both sexes")</f>
        <v>both sexes</v>
      </c>
      <c r="L131" s="5" t="str">
        <f>IFERROR(__xludf.DUMMYFUNCTION("""COMPUTED_VALUE"""),"45-54 years")</f>
        <v>45-54 years</v>
      </c>
    </row>
    <row r="132">
      <c r="A132" s="11"/>
      <c r="B132" s="11">
        <v>15.0</v>
      </c>
      <c r="C132" s="7" t="s">
        <v>28</v>
      </c>
      <c r="D132" s="53">
        <v>1513.0</v>
      </c>
      <c r="E132" s="11">
        <v>0.9</v>
      </c>
      <c r="F132" s="11">
        <v>3.5</v>
      </c>
      <c r="G132" s="51" t="str">
        <f t="shared" si="1"/>
        <v>All races, both sexes, 45-54 years</v>
      </c>
      <c r="H132" s="51" t="str">
        <f t="shared" si="2"/>
        <v>All races, both sexes, 45-54 years</v>
      </c>
      <c r="I132" s="52"/>
      <c r="J132" s="5" t="str">
        <f>IFERROR(__xludf.DUMMYFUNCTION("IFERROR(SPLIT(H132, "", "", FALSE, TRUE), )"),"All races")</f>
        <v>All races</v>
      </c>
      <c r="K132" s="5" t="str">
        <f>IFERROR(__xludf.DUMMYFUNCTION("""COMPUTED_VALUE"""),"both sexes")</f>
        <v>both sexes</v>
      </c>
      <c r="L132" s="5" t="str">
        <f>IFERROR(__xludf.DUMMYFUNCTION("""COMPUTED_VALUE"""),"45-54 years")</f>
        <v>45-54 years</v>
      </c>
    </row>
    <row r="133">
      <c r="A133" s="7"/>
      <c r="B133" s="7" t="s">
        <v>12</v>
      </c>
      <c r="C133" s="7" t="s">
        <v>31</v>
      </c>
      <c r="D133" s="53">
        <v>28172.0</v>
      </c>
      <c r="E133" s="11">
        <v>15.9</v>
      </c>
      <c r="F133" s="11">
        <v>64.4</v>
      </c>
      <c r="G133" s="51" t="str">
        <f t="shared" si="1"/>
        <v>All races, both sexes, 45-54 years</v>
      </c>
      <c r="H133" s="51" t="str">
        <f t="shared" si="2"/>
        <v>All races, both sexes, 45-54 years</v>
      </c>
      <c r="I133" s="52"/>
      <c r="J133" s="5" t="str">
        <f>IFERROR(__xludf.DUMMYFUNCTION("IFERROR(SPLIT(H133, "", "", FALSE, TRUE), )"),"All races")</f>
        <v>All races</v>
      </c>
      <c r="K133" s="5" t="str">
        <f>IFERROR(__xludf.DUMMYFUNCTION("""COMPUTED_VALUE"""),"both sexes")</f>
        <v>both sexes</v>
      </c>
      <c r="L133" s="5" t="str">
        <f>IFERROR(__xludf.DUMMYFUNCTION("""COMPUTED_VALUE"""),"45-54 years")</f>
        <v>45-54 years</v>
      </c>
    </row>
    <row r="134">
      <c r="A134" s="49" t="s">
        <v>89</v>
      </c>
      <c r="B134" s="49" t="s">
        <v>99</v>
      </c>
      <c r="G134" s="51" t="str">
        <f t="shared" si="1"/>
        <v>All races, both sexes, 45-54 years</v>
      </c>
      <c r="H134" s="51" t="str">
        <f t="shared" si="2"/>
        <v/>
      </c>
      <c r="I134" s="52"/>
      <c r="J134" s="5" t="str">
        <f>IFERROR(__xludf.DUMMYFUNCTION("IFERROR(SPLIT(H134, "", "", FALSE, TRUE), )"),"")</f>
        <v/>
      </c>
    </row>
    <row r="135">
      <c r="A135" s="3"/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  <c r="G135" s="51" t="str">
        <f t="shared" si="1"/>
        <v>All races, both sexes, 55-64 years</v>
      </c>
      <c r="H135" s="51" t="str">
        <f t="shared" si="2"/>
        <v/>
      </c>
      <c r="I135" s="52"/>
      <c r="J135" s="5" t="str">
        <f>IFERROR(__xludf.DUMMYFUNCTION("IFERROR(SPLIT(H135, "", "", FALSE, TRUE), )"),"")</f>
        <v/>
      </c>
    </row>
    <row r="136">
      <c r="A136" s="7"/>
      <c r="B136" s="7" t="s">
        <v>12</v>
      </c>
      <c r="C136" s="7" t="s">
        <v>13</v>
      </c>
      <c r="D136" s="53">
        <v>338127.0</v>
      </c>
      <c r="E136" s="11">
        <v>100.0</v>
      </c>
      <c r="F136" s="11">
        <v>860.0</v>
      </c>
      <c r="G136" s="51" t="str">
        <f t="shared" si="1"/>
        <v>All races, both sexes, 55-64 years</v>
      </c>
      <c r="H136" s="51" t="str">
        <f t="shared" si="2"/>
        <v>All races, both sexes, 55-64 years</v>
      </c>
      <c r="I136" s="52"/>
      <c r="J136" s="5" t="str">
        <f>IFERROR(__xludf.DUMMYFUNCTION("IFERROR(SPLIT(H136, "", "", FALSE, TRUE), )"),"All races")</f>
        <v>All races</v>
      </c>
      <c r="K136" s="5" t="str">
        <f>IFERROR(__xludf.DUMMYFUNCTION("""COMPUTED_VALUE"""),"both sexes")</f>
        <v>both sexes</v>
      </c>
      <c r="L136" s="5" t="str">
        <f>IFERROR(__xludf.DUMMYFUNCTION("""COMPUTED_VALUE"""),"55-64 years")</f>
        <v>55-64 years</v>
      </c>
    </row>
    <row r="137">
      <c r="A137" s="11"/>
      <c r="B137" s="11">
        <v>1.0</v>
      </c>
      <c r="C137" s="7" t="s">
        <v>17</v>
      </c>
      <c r="D137" s="53">
        <v>113324.0</v>
      </c>
      <c r="E137" s="11">
        <v>33.5</v>
      </c>
      <c r="F137" s="11">
        <v>288.2</v>
      </c>
      <c r="G137" s="51" t="str">
        <f t="shared" si="1"/>
        <v>All races, both sexes, 55-64 years</v>
      </c>
      <c r="H137" s="51" t="str">
        <f t="shared" si="2"/>
        <v>All races, both sexes, 55-64 years</v>
      </c>
      <c r="I137" s="52"/>
      <c r="J137" s="5" t="str">
        <f>IFERROR(__xludf.DUMMYFUNCTION("IFERROR(SPLIT(H137, "", "", FALSE, TRUE), )"),"All races")</f>
        <v>All races</v>
      </c>
      <c r="K137" s="5" t="str">
        <f>IFERROR(__xludf.DUMMYFUNCTION("""COMPUTED_VALUE"""),"both sexes")</f>
        <v>both sexes</v>
      </c>
      <c r="L137" s="5" t="str">
        <f>IFERROR(__xludf.DUMMYFUNCTION("""COMPUTED_VALUE"""),"55-64 years")</f>
        <v>55-64 years</v>
      </c>
    </row>
    <row r="138">
      <c r="A138" s="11"/>
      <c r="B138" s="11">
        <v>2.0</v>
      </c>
      <c r="C138" s="7" t="s">
        <v>16</v>
      </c>
      <c r="D138" s="53">
        <v>72568.0</v>
      </c>
      <c r="E138" s="11">
        <v>21.5</v>
      </c>
      <c r="F138" s="11">
        <v>184.6</v>
      </c>
      <c r="G138" s="51" t="str">
        <f t="shared" si="1"/>
        <v>All races, both sexes, 55-64 years</v>
      </c>
      <c r="H138" s="51" t="str">
        <f t="shared" si="2"/>
        <v>All races, both sexes, 55-64 years</v>
      </c>
      <c r="I138" s="52"/>
      <c r="J138" s="5" t="str">
        <f>IFERROR(__xludf.DUMMYFUNCTION("IFERROR(SPLIT(H138, "", "", FALSE, TRUE), )"),"All races")</f>
        <v>All races</v>
      </c>
      <c r="K138" s="5" t="str">
        <f>IFERROR(__xludf.DUMMYFUNCTION("""COMPUTED_VALUE"""),"both sexes")</f>
        <v>both sexes</v>
      </c>
      <c r="L138" s="5" t="str">
        <f>IFERROR(__xludf.DUMMYFUNCTION("""COMPUTED_VALUE"""),"55-64 years")</f>
        <v>55-64 years</v>
      </c>
    </row>
    <row r="139">
      <c r="A139" s="11"/>
      <c r="B139" s="11">
        <v>3.0</v>
      </c>
      <c r="C139" s="7" t="s">
        <v>19</v>
      </c>
      <c r="D139" s="53">
        <v>17057.0</v>
      </c>
      <c r="E139" s="11">
        <v>5.0</v>
      </c>
      <c r="F139" s="11">
        <v>43.4</v>
      </c>
      <c r="G139" s="51" t="str">
        <f t="shared" si="1"/>
        <v>All races, both sexes, 55-64 years</v>
      </c>
      <c r="H139" s="51" t="str">
        <f t="shared" si="2"/>
        <v>All races, both sexes, 55-64 years</v>
      </c>
      <c r="I139" s="52"/>
      <c r="J139" s="5" t="str">
        <f>IFERROR(__xludf.DUMMYFUNCTION("IFERROR(SPLIT(H139, "", "", FALSE, TRUE), )"),"All races")</f>
        <v>All races</v>
      </c>
      <c r="K139" s="5" t="str">
        <f>IFERROR(__xludf.DUMMYFUNCTION("""COMPUTED_VALUE"""),"both sexes")</f>
        <v>both sexes</v>
      </c>
      <c r="L139" s="5" t="str">
        <f>IFERROR(__xludf.DUMMYFUNCTION("""COMPUTED_VALUE"""),"55-64 years")</f>
        <v>55-64 years</v>
      </c>
    </row>
    <row r="140">
      <c r="A140" s="11"/>
      <c r="B140" s="11">
        <v>4.0</v>
      </c>
      <c r="C140" s="7" t="s">
        <v>18</v>
      </c>
      <c r="D140" s="53">
        <v>15942.0</v>
      </c>
      <c r="E140" s="11">
        <v>4.7</v>
      </c>
      <c r="F140" s="11">
        <v>40.5</v>
      </c>
      <c r="G140" s="51" t="str">
        <f t="shared" si="1"/>
        <v>All races, both sexes, 55-64 years</v>
      </c>
      <c r="H140" s="51" t="str">
        <f t="shared" si="2"/>
        <v>All races, both sexes, 55-64 years</v>
      </c>
      <c r="I140" s="52"/>
      <c r="J140" s="5" t="str">
        <f>IFERROR(__xludf.DUMMYFUNCTION("IFERROR(SPLIT(H140, "", "", FALSE, TRUE), )"),"All races")</f>
        <v>All races</v>
      </c>
      <c r="K140" s="5" t="str">
        <f>IFERROR(__xludf.DUMMYFUNCTION("""COMPUTED_VALUE"""),"both sexes")</f>
        <v>both sexes</v>
      </c>
      <c r="L140" s="5" t="str">
        <f>IFERROR(__xludf.DUMMYFUNCTION("""COMPUTED_VALUE"""),"55-64 years")</f>
        <v>55-64 years</v>
      </c>
    </row>
    <row r="141">
      <c r="A141" s="11"/>
      <c r="B141" s="11">
        <v>5.0</v>
      </c>
      <c r="C141" s="7" t="s">
        <v>22</v>
      </c>
      <c r="D141" s="53">
        <v>13061.0</v>
      </c>
      <c r="E141" s="11">
        <v>3.9</v>
      </c>
      <c r="F141" s="11">
        <v>33.2</v>
      </c>
      <c r="G141" s="51" t="str">
        <f t="shared" si="1"/>
        <v>All races, both sexes, 55-64 years</v>
      </c>
      <c r="H141" s="51" t="str">
        <f t="shared" si="2"/>
        <v>All races, both sexes, 55-64 years</v>
      </c>
      <c r="I141" s="52"/>
      <c r="J141" s="5" t="str">
        <f>IFERROR(__xludf.DUMMYFUNCTION("IFERROR(SPLIT(H141, "", "", FALSE, TRUE), )"),"All races")</f>
        <v>All races</v>
      </c>
      <c r="K141" s="5" t="str">
        <f>IFERROR(__xludf.DUMMYFUNCTION("""COMPUTED_VALUE"""),"both sexes")</f>
        <v>both sexes</v>
      </c>
      <c r="L141" s="5" t="str">
        <f>IFERROR(__xludf.DUMMYFUNCTION("""COMPUTED_VALUE"""),"55-64 years")</f>
        <v>55-64 years</v>
      </c>
    </row>
    <row r="142">
      <c r="A142" s="11"/>
      <c r="B142" s="11">
        <v>6.0</v>
      </c>
      <c r="C142" s="7" t="s">
        <v>27</v>
      </c>
      <c r="D142" s="53">
        <v>11951.0</v>
      </c>
      <c r="E142" s="11">
        <v>3.5</v>
      </c>
      <c r="F142" s="11">
        <v>30.4</v>
      </c>
      <c r="G142" s="51" t="str">
        <f t="shared" si="1"/>
        <v>All races, both sexes, 55-64 years</v>
      </c>
      <c r="H142" s="51" t="str">
        <f t="shared" si="2"/>
        <v>All races, both sexes, 55-64 years</v>
      </c>
      <c r="I142" s="52"/>
      <c r="J142" s="5" t="str">
        <f>IFERROR(__xludf.DUMMYFUNCTION("IFERROR(SPLIT(H142, "", "", FALSE, TRUE), )"),"All races")</f>
        <v>All races</v>
      </c>
      <c r="K142" s="5" t="str">
        <f>IFERROR(__xludf.DUMMYFUNCTION("""COMPUTED_VALUE"""),"both sexes")</f>
        <v>both sexes</v>
      </c>
      <c r="L142" s="5" t="str">
        <f>IFERROR(__xludf.DUMMYFUNCTION("""COMPUTED_VALUE"""),"55-64 years")</f>
        <v>55-64 years</v>
      </c>
    </row>
    <row r="143">
      <c r="A143" s="11"/>
      <c r="B143" s="11">
        <v>7.0</v>
      </c>
      <c r="C143" s="7" t="s">
        <v>20</v>
      </c>
      <c r="D143" s="53">
        <v>11364.0</v>
      </c>
      <c r="E143" s="11">
        <v>3.4</v>
      </c>
      <c r="F143" s="11">
        <v>28.9</v>
      </c>
      <c r="G143" s="51" t="str">
        <f t="shared" si="1"/>
        <v>All races, both sexes, 55-64 years</v>
      </c>
      <c r="H143" s="51" t="str">
        <f t="shared" si="2"/>
        <v>All races, both sexes, 55-64 years</v>
      </c>
      <c r="I143" s="52"/>
      <c r="J143" s="5" t="str">
        <f>IFERROR(__xludf.DUMMYFUNCTION("IFERROR(SPLIT(H143, "", "", FALSE, TRUE), )"),"All races")</f>
        <v>All races</v>
      </c>
      <c r="K143" s="5" t="str">
        <f>IFERROR(__xludf.DUMMYFUNCTION("""COMPUTED_VALUE"""),"both sexes")</f>
        <v>both sexes</v>
      </c>
      <c r="L143" s="5" t="str">
        <f>IFERROR(__xludf.DUMMYFUNCTION("""COMPUTED_VALUE"""),"55-64 years")</f>
        <v>55-64 years</v>
      </c>
    </row>
    <row r="144">
      <c r="A144" s="11"/>
      <c r="B144" s="11">
        <v>8.0</v>
      </c>
      <c r="C144" s="7" t="s">
        <v>25</v>
      </c>
      <c r="D144" s="53">
        <v>7135.0</v>
      </c>
      <c r="E144" s="11">
        <v>2.1</v>
      </c>
      <c r="F144" s="11">
        <v>18.1</v>
      </c>
      <c r="G144" s="51" t="str">
        <f t="shared" si="1"/>
        <v>All races, both sexes, 55-64 years</v>
      </c>
      <c r="H144" s="51" t="str">
        <f t="shared" si="2"/>
        <v>All races, both sexes, 55-64 years</v>
      </c>
      <c r="I144" s="52"/>
      <c r="J144" s="5" t="str">
        <f>IFERROR(__xludf.DUMMYFUNCTION("IFERROR(SPLIT(H144, "", "", FALSE, TRUE), )"),"All races")</f>
        <v>All races</v>
      </c>
      <c r="K144" s="5" t="str">
        <f>IFERROR(__xludf.DUMMYFUNCTION("""COMPUTED_VALUE"""),"both sexes")</f>
        <v>both sexes</v>
      </c>
      <c r="L144" s="5" t="str">
        <f>IFERROR(__xludf.DUMMYFUNCTION("""COMPUTED_VALUE"""),"55-64 years")</f>
        <v>55-64 years</v>
      </c>
    </row>
    <row r="145">
      <c r="A145" s="11"/>
      <c r="B145" s="11">
        <v>9.0</v>
      </c>
      <c r="C145" s="7" t="s">
        <v>26</v>
      </c>
      <c r="D145" s="53">
        <v>5345.0</v>
      </c>
      <c r="E145" s="11">
        <v>1.6</v>
      </c>
      <c r="F145" s="11">
        <v>13.6</v>
      </c>
      <c r="G145" s="51" t="str">
        <f t="shared" si="1"/>
        <v>All races, both sexes, 55-64 years</v>
      </c>
      <c r="H145" s="51" t="str">
        <f t="shared" si="2"/>
        <v>All races, both sexes, 55-64 years</v>
      </c>
      <c r="I145" s="52"/>
      <c r="J145" s="5" t="str">
        <f>IFERROR(__xludf.DUMMYFUNCTION("IFERROR(SPLIT(H145, "", "", FALSE, TRUE), )"),"All races")</f>
        <v>All races</v>
      </c>
      <c r="K145" s="5" t="str">
        <f>IFERROR(__xludf.DUMMYFUNCTION("""COMPUTED_VALUE"""),"both sexes")</f>
        <v>both sexes</v>
      </c>
      <c r="L145" s="5" t="str">
        <f>IFERROR(__xludf.DUMMYFUNCTION("""COMPUTED_VALUE"""),"55-64 years")</f>
        <v>55-64 years</v>
      </c>
    </row>
    <row r="146">
      <c r="A146" s="11"/>
      <c r="B146" s="11">
        <v>10.0</v>
      </c>
      <c r="C146" s="7" t="s">
        <v>24</v>
      </c>
      <c r="D146" s="53">
        <v>4947.0</v>
      </c>
      <c r="E146" s="11">
        <v>1.5</v>
      </c>
      <c r="F146" s="11">
        <v>12.6</v>
      </c>
      <c r="G146" s="51" t="str">
        <f t="shared" si="1"/>
        <v>All races, both sexes, 55-64 years</v>
      </c>
      <c r="H146" s="51" t="str">
        <f t="shared" si="2"/>
        <v>All races, both sexes, 55-64 years</v>
      </c>
      <c r="I146" s="52"/>
      <c r="J146" s="5" t="str">
        <f>IFERROR(__xludf.DUMMYFUNCTION("IFERROR(SPLIT(H146, "", "", FALSE, TRUE), )"),"All races")</f>
        <v>All races</v>
      </c>
      <c r="K146" s="5" t="str">
        <f>IFERROR(__xludf.DUMMYFUNCTION("""COMPUTED_VALUE"""),"both sexes")</f>
        <v>both sexes</v>
      </c>
      <c r="L146" s="5" t="str">
        <f>IFERROR(__xludf.DUMMYFUNCTION("""COMPUTED_VALUE"""),"55-64 years")</f>
        <v>55-64 years</v>
      </c>
    </row>
    <row r="147">
      <c r="A147" s="11"/>
      <c r="B147" s="11">
        <v>11.0</v>
      </c>
      <c r="C147" s="7" t="s">
        <v>23</v>
      </c>
      <c r="D147" s="53">
        <v>4779.0</v>
      </c>
      <c r="E147" s="11">
        <v>1.4</v>
      </c>
      <c r="F147" s="11">
        <v>12.2</v>
      </c>
      <c r="G147" s="51" t="str">
        <f t="shared" si="1"/>
        <v>All races, both sexes, 55-64 years</v>
      </c>
      <c r="H147" s="51" t="str">
        <f t="shared" si="2"/>
        <v>All races, both sexes, 55-64 years</v>
      </c>
      <c r="I147" s="52"/>
      <c r="J147" s="5" t="str">
        <f>IFERROR(__xludf.DUMMYFUNCTION("IFERROR(SPLIT(H147, "", "", FALSE, TRUE), )"),"All races")</f>
        <v>All races</v>
      </c>
      <c r="K147" s="5" t="str">
        <f>IFERROR(__xludf.DUMMYFUNCTION("""COMPUTED_VALUE"""),"both sexes")</f>
        <v>both sexes</v>
      </c>
      <c r="L147" s="5" t="str">
        <f>IFERROR(__xludf.DUMMYFUNCTION("""COMPUTED_VALUE"""),"55-64 years")</f>
        <v>55-64 years</v>
      </c>
    </row>
    <row r="148">
      <c r="A148" s="11"/>
      <c r="B148" s="11">
        <v>12.0</v>
      </c>
      <c r="C148" s="7" t="s">
        <v>49</v>
      </c>
      <c r="D148" s="53">
        <v>3936.0</v>
      </c>
      <c r="E148" s="11">
        <v>1.2</v>
      </c>
      <c r="F148" s="11">
        <v>10.0</v>
      </c>
      <c r="G148" s="51" t="str">
        <f t="shared" si="1"/>
        <v>All races, both sexes, 55-64 years</v>
      </c>
      <c r="H148" s="51" t="str">
        <f t="shared" si="2"/>
        <v>All races, both sexes, 55-64 years</v>
      </c>
      <c r="I148" s="52"/>
      <c r="J148" s="5" t="str">
        <f>IFERROR(__xludf.DUMMYFUNCTION("IFERROR(SPLIT(H148, "", "", FALSE, TRUE), )"),"All races")</f>
        <v>All races</v>
      </c>
      <c r="K148" s="5" t="str">
        <f>IFERROR(__xludf.DUMMYFUNCTION("""COMPUTED_VALUE"""),"both sexes")</f>
        <v>both sexes</v>
      </c>
      <c r="L148" s="5" t="str">
        <f>IFERROR(__xludf.DUMMYFUNCTION("""COMPUTED_VALUE"""),"55-64 years")</f>
        <v>55-64 years</v>
      </c>
    </row>
    <row r="149">
      <c r="A149" s="11"/>
      <c r="B149" s="11">
        <v>13.0</v>
      </c>
      <c r="C149" s="7" t="s">
        <v>28</v>
      </c>
      <c r="D149" s="53">
        <v>3137.0</v>
      </c>
      <c r="E149" s="11">
        <v>0.9</v>
      </c>
      <c r="F149" s="11">
        <v>8.0</v>
      </c>
      <c r="G149" s="51" t="str">
        <f t="shared" si="1"/>
        <v>All races, both sexes, 55-64 years</v>
      </c>
      <c r="H149" s="51" t="str">
        <f t="shared" si="2"/>
        <v>All races, both sexes, 55-64 years</v>
      </c>
      <c r="I149" s="52"/>
      <c r="J149" s="5" t="str">
        <f>IFERROR(__xludf.DUMMYFUNCTION("IFERROR(SPLIT(H149, "", "", FALSE, TRUE), )"),"All races")</f>
        <v>All races</v>
      </c>
      <c r="K149" s="5" t="str">
        <f>IFERROR(__xludf.DUMMYFUNCTION("""COMPUTED_VALUE"""),"both sexes")</f>
        <v>both sexes</v>
      </c>
      <c r="L149" s="5" t="str">
        <f>IFERROR(__xludf.DUMMYFUNCTION("""COMPUTED_VALUE"""),"55-64 years")</f>
        <v>55-64 years</v>
      </c>
    </row>
    <row r="150">
      <c r="A150" s="11"/>
      <c r="B150" s="11">
        <v>14.0</v>
      </c>
      <c r="C150" s="7" t="s">
        <v>44</v>
      </c>
      <c r="D150" s="53">
        <v>1820.0</v>
      </c>
      <c r="E150" s="11">
        <v>0.5</v>
      </c>
      <c r="F150" s="11">
        <v>4.6</v>
      </c>
      <c r="G150" s="51" t="str">
        <f t="shared" si="1"/>
        <v>All races, both sexes, 55-64 years</v>
      </c>
      <c r="H150" s="51" t="str">
        <f t="shared" si="2"/>
        <v>All races, both sexes, 55-64 years</v>
      </c>
      <c r="I150" s="52"/>
      <c r="J150" s="5" t="str">
        <f>IFERROR(__xludf.DUMMYFUNCTION("IFERROR(SPLIT(H150, "", "", FALSE, TRUE), )"),"All races")</f>
        <v>All races</v>
      </c>
      <c r="K150" s="5" t="str">
        <f>IFERROR(__xludf.DUMMYFUNCTION("""COMPUTED_VALUE"""),"both sexes")</f>
        <v>both sexes</v>
      </c>
      <c r="L150" s="5" t="str">
        <f>IFERROR(__xludf.DUMMYFUNCTION("""COMPUTED_VALUE"""),"55-64 years")</f>
        <v>55-64 years</v>
      </c>
    </row>
    <row r="151">
      <c r="A151" s="11"/>
      <c r="B151" s="11">
        <v>15.0</v>
      </c>
      <c r="C151" s="7" t="s">
        <v>35</v>
      </c>
      <c r="D151" s="53">
        <v>1502.0</v>
      </c>
      <c r="E151" s="11">
        <v>0.4</v>
      </c>
      <c r="F151" s="11">
        <v>3.8</v>
      </c>
      <c r="G151" s="51" t="str">
        <f t="shared" si="1"/>
        <v>All races, both sexes, 55-64 years</v>
      </c>
      <c r="H151" s="51" t="str">
        <f t="shared" si="2"/>
        <v>All races, both sexes, 55-64 years</v>
      </c>
      <c r="I151" s="52"/>
      <c r="J151" s="5" t="str">
        <f>IFERROR(__xludf.DUMMYFUNCTION("IFERROR(SPLIT(H151, "", "", FALSE, TRUE), )"),"All races")</f>
        <v>All races</v>
      </c>
      <c r="K151" s="5" t="str">
        <f>IFERROR(__xludf.DUMMYFUNCTION("""COMPUTED_VALUE"""),"both sexes")</f>
        <v>both sexes</v>
      </c>
      <c r="L151" s="5" t="str">
        <f>IFERROR(__xludf.DUMMYFUNCTION("""COMPUTED_VALUE"""),"55-64 years")</f>
        <v>55-64 years</v>
      </c>
    </row>
    <row r="152">
      <c r="A152" s="7"/>
      <c r="B152" s="7" t="s">
        <v>12</v>
      </c>
      <c r="C152" s="7" t="s">
        <v>31</v>
      </c>
      <c r="D152" s="53">
        <v>50259.0</v>
      </c>
      <c r="E152" s="11">
        <v>14.9</v>
      </c>
      <c r="F152" s="11">
        <v>127.8</v>
      </c>
      <c r="G152" s="51" t="str">
        <f t="shared" si="1"/>
        <v>All races, both sexes, 55-64 years</v>
      </c>
      <c r="H152" s="51" t="str">
        <f t="shared" si="2"/>
        <v>All races, both sexes, 55-64 years</v>
      </c>
      <c r="I152" s="52"/>
      <c r="J152" s="5" t="str">
        <f>IFERROR(__xludf.DUMMYFUNCTION("IFERROR(SPLIT(H152, "", "", FALSE, TRUE), )"),"All races")</f>
        <v>All races</v>
      </c>
      <c r="K152" s="5" t="str">
        <f>IFERROR(__xludf.DUMMYFUNCTION("""COMPUTED_VALUE"""),"both sexes")</f>
        <v>both sexes</v>
      </c>
      <c r="L152" s="5" t="str">
        <f>IFERROR(__xludf.DUMMYFUNCTION("""COMPUTED_VALUE"""),"55-64 years")</f>
        <v>55-64 years</v>
      </c>
    </row>
    <row r="153">
      <c r="A153" s="49" t="s">
        <v>89</v>
      </c>
      <c r="B153" s="49" t="s">
        <v>100</v>
      </c>
      <c r="G153" s="51" t="str">
        <f t="shared" si="1"/>
        <v>All races, both sexes, 55-64 years</v>
      </c>
      <c r="H153" s="51" t="str">
        <f t="shared" si="2"/>
        <v/>
      </c>
      <c r="I153" s="52"/>
      <c r="J153" s="5" t="str">
        <f>IFERROR(__xludf.DUMMYFUNCTION("IFERROR(SPLIT(H153, "", "", FALSE, TRUE), )"),"")</f>
        <v/>
      </c>
    </row>
    <row r="154">
      <c r="A154" s="3"/>
      <c r="B154" s="3" t="s">
        <v>3</v>
      </c>
      <c r="C154" s="3" t="s">
        <v>4</v>
      </c>
      <c r="D154" s="3" t="s">
        <v>5</v>
      </c>
      <c r="E154" s="3" t="s">
        <v>6</v>
      </c>
      <c r="F154" s="3" t="s">
        <v>7</v>
      </c>
      <c r="G154" s="51" t="str">
        <f t="shared" si="1"/>
        <v>All races, both sexes, 65-74 years</v>
      </c>
      <c r="H154" s="51" t="str">
        <f t="shared" si="2"/>
        <v/>
      </c>
      <c r="I154" s="52"/>
      <c r="J154" s="5" t="str">
        <f>IFERROR(__xludf.DUMMYFUNCTION("IFERROR(SPLIT(H154, "", "", FALSE, TRUE), )"),"")</f>
        <v/>
      </c>
    </row>
    <row r="155">
      <c r="A155" s="7"/>
      <c r="B155" s="7" t="s">
        <v>12</v>
      </c>
      <c r="C155" s="7" t="s">
        <v>13</v>
      </c>
      <c r="D155" s="53">
        <v>454429.0</v>
      </c>
      <c r="E155" s="11">
        <v>100.0</v>
      </c>
      <c r="F155" s="54">
        <v>1802.1</v>
      </c>
      <c r="G155" s="51" t="str">
        <f t="shared" si="1"/>
        <v>All races, both sexes, 65-74 years</v>
      </c>
      <c r="H155" s="51" t="str">
        <f t="shared" si="2"/>
        <v>All races, both sexes, 65-74 years</v>
      </c>
      <c r="I155" s="52"/>
      <c r="J155" s="5" t="str">
        <f>IFERROR(__xludf.DUMMYFUNCTION("IFERROR(SPLIT(H155, "", "", FALSE, TRUE), )"),"All races")</f>
        <v>All races</v>
      </c>
      <c r="K155" s="5" t="str">
        <f>IFERROR(__xludf.DUMMYFUNCTION("""COMPUTED_VALUE"""),"both sexes")</f>
        <v>both sexes</v>
      </c>
      <c r="L155" s="5" t="str">
        <f>IFERROR(__xludf.DUMMYFUNCTION("""COMPUTED_VALUE"""),"65-74 years")</f>
        <v>65-74 years</v>
      </c>
    </row>
    <row r="156">
      <c r="A156" s="11"/>
      <c r="B156" s="11">
        <v>1.0</v>
      </c>
      <c r="C156" s="7" t="s">
        <v>17</v>
      </c>
      <c r="D156" s="53">
        <v>155552.0</v>
      </c>
      <c r="E156" s="11">
        <v>34.2</v>
      </c>
      <c r="F156" s="11">
        <v>616.9</v>
      </c>
      <c r="G156" s="51" t="str">
        <f t="shared" si="1"/>
        <v>All races, both sexes, 65-74 years</v>
      </c>
      <c r="H156" s="51" t="str">
        <f t="shared" si="2"/>
        <v>All races, both sexes, 65-74 years</v>
      </c>
      <c r="I156" s="52"/>
      <c r="J156" s="5" t="str">
        <f>IFERROR(__xludf.DUMMYFUNCTION("IFERROR(SPLIT(H156, "", "", FALSE, TRUE), )"),"All races")</f>
        <v>All races</v>
      </c>
      <c r="K156" s="5" t="str">
        <f>IFERROR(__xludf.DUMMYFUNCTION("""COMPUTED_VALUE"""),"both sexes")</f>
        <v>both sexes</v>
      </c>
      <c r="L156" s="5" t="str">
        <f>IFERROR(__xludf.DUMMYFUNCTION("""COMPUTED_VALUE"""),"65-74 years")</f>
        <v>65-74 years</v>
      </c>
    </row>
    <row r="157">
      <c r="A157" s="11"/>
      <c r="B157" s="11">
        <v>2.0</v>
      </c>
      <c r="C157" s="7" t="s">
        <v>16</v>
      </c>
      <c r="D157" s="53">
        <v>98432.0</v>
      </c>
      <c r="E157" s="11">
        <v>21.7</v>
      </c>
      <c r="F157" s="11">
        <v>390.3</v>
      </c>
      <c r="G157" s="51" t="str">
        <f t="shared" si="1"/>
        <v>All races, both sexes, 65-74 years</v>
      </c>
      <c r="H157" s="51" t="str">
        <f t="shared" si="2"/>
        <v>All races, both sexes, 65-74 years</v>
      </c>
      <c r="I157" s="52"/>
      <c r="J157" s="5" t="str">
        <f>IFERROR(__xludf.DUMMYFUNCTION("IFERROR(SPLIT(H157, "", "", FALSE, TRUE), )"),"All races")</f>
        <v>All races</v>
      </c>
      <c r="K157" s="5" t="str">
        <f>IFERROR(__xludf.DUMMYFUNCTION("""COMPUTED_VALUE"""),"both sexes")</f>
        <v>both sexes</v>
      </c>
      <c r="L157" s="5" t="str">
        <f>IFERROR(__xludf.DUMMYFUNCTION("""COMPUTED_VALUE"""),"65-74 years")</f>
        <v>65-74 years</v>
      </c>
    </row>
    <row r="158">
      <c r="A158" s="11"/>
      <c r="B158" s="11">
        <v>3.0</v>
      </c>
      <c r="C158" s="7" t="s">
        <v>18</v>
      </c>
      <c r="D158" s="53">
        <v>35603.0</v>
      </c>
      <c r="E158" s="11">
        <v>7.8</v>
      </c>
      <c r="F158" s="11">
        <v>141.2</v>
      </c>
      <c r="G158" s="51" t="str">
        <f t="shared" si="1"/>
        <v>All races, both sexes, 65-74 years</v>
      </c>
      <c r="H158" s="51" t="str">
        <f t="shared" si="2"/>
        <v>All races, both sexes, 65-74 years</v>
      </c>
      <c r="I158" s="52"/>
      <c r="J158" s="5" t="str">
        <f>IFERROR(__xludf.DUMMYFUNCTION("IFERROR(SPLIT(H158, "", "", FALSE, TRUE), )"),"All races")</f>
        <v>All races</v>
      </c>
      <c r="K158" s="5" t="str">
        <f>IFERROR(__xludf.DUMMYFUNCTION("""COMPUTED_VALUE"""),"both sexes")</f>
        <v>both sexes</v>
      </c>
      <c r="L158" s="5" t="str">
        <f>IFERROR(__xludf.DUMMYFUNCTION("""COMPUTED_VALUE"""),"65-74 years")</f>
        <v>65-74 years</v>
      </c>
    </row>
    <row r="159">
      <c r="A159" s="11"/>
      <c r="B159" s="11">
        <v>4.0</v>
      </c>
      <c r="C159" s="7" t="s">
        <v>20</v>
      </c>
      <c r="D159" s="53">
        <v>18722.0</v>
      </c>
      <c r="E159" s="11">
        <v>4.1</v>
      </c>
      <c r="F159" s="11">
        <v>74.2</v>
      </c>
      <c r="G159" s="51" t="str">
        <f t="shared" si="1"/>
        <v>All races, both sexes, 65-74 years</v>
      </c>
      <c r="H159" s="51" t="str">
        <f t="shared" si="2"/>
        <v>All races, both sexes, 65-74 years</v>
      </c>
      <c r="I159" s="52"/>
      <c r="J159" s="5" t="str">
        <f>IFERROR(__xludf.DUMMYFUNCTION("IFERROR(SPLIT(H159, "", "", FALSE, TRUE), )"),"All races")</f>
        <v>All races</v>
      </c>
      <c r="K159" s="5" t="str">
        <f>IFERROR(__xludf.DUMMYFUNCTION("""COMPUTED_VALUE"""),"both sexes")</f>
        <v>both sexes</v>
      </c>
      <c r="L159" s="5" t="str">
        <f>IFERROR(__xludf.DUMMYFUNCTION("""COMPUTED_VALUE"""),"65-74 years")</f>
        <v>65-74 years</v>
      </c>
    </row>
    <row r="160">
      <c r="A160" s="11"/>
      <c r="B160" s="11">
        <v>5.0</v>
      </c>
      <c r="C160" s="7" t="s">
        <v>22</v>
      </c>
      <c r="D160" s="53">
        <v>17279.0</v>
      </c>
      <c r="E160" s="11">
        <v>3.8</v>
      </c>
      <c r="F160" s="11">
        <v>68.5</v>
      </c>
      <c r="G160" s="51" t="str">
        <f t="shared" si="1"/>
        <v>All races, both sexes, 65-74 years</v>
      </c>
      <c r="H160" s="51" t="str">
        <f t="shared" si="2"/>
        <v>All races, both sexes, 65-74 years</v>
      </c>
      <c r="I160" s="52"/>
      <c r="J160" s="5" t="str">
        <f>IFERROR(__xludf.DUMMYFUNCTION("IFERROR(SPLIT(H160, "", "", FALSE, TRUE), )"),"All races")</f>
        <v>All races</v>
      </c>
      <c r="K160" s="5" t="str">
        <f>IFERROR(__xludf.DUMMYFUNCTION("""COMPUTED_VALUE"""),"both sexes")</f>
        <v>both sexes</v>
      </c>
      <c r="L160" s="5" t="str">
        <f>IFERROR(__xludf.DUMMYFUNCTION("""COMPUTED_VALUE"""),"65-74 years")</f>
        <v>65-74 years</v>
      </c>
    </row>
    <row r="161">
      <c r="A161" s="11"/>
      <c r="B161" s="11">
        <v>6.0</v>
      </c>
      <c r="C161" s="7" t="s">
        <v>19</v>
      </c>
      <c r="D161" s="53">
        <v>10967.0</v>
      </c>
      <c r="E161" s="11">
        <v>2.4</v>
      </c>
      <c r="F161" s="11">
        <v>43.5</v>
      </c>
      <c r="G161" s="51" t="str">
        <f t="shared" si="1"/>
        <v>All races, both sexes, 65-74 years</v>
      </c>
      <c r="H161" s="51" t="str">
        <f t="shared" si="2"/>
        <v>All races, both sexes, 65-74 years</v>
      </c>
      <c r="I161" s="52"/>
      <c r="J161" s="5" t="str">
        <f>IFERROR(__xludf.DUMMYFUNCTION("IFERROR(SPLIT(H161, "", "", FALSE, TRUE), )"),"All races")</f>
        <v>All races</v>
      </c>
      <c r="K161" s="5" t="str">
        <f>IFERROR(__xludf.DUMMYFUNCTION("""COMPUTED_VALUE"""),"both sexes")</f>
        <v>both sexes</v>
      </c>
      <c r="L161" s="5" t="str">
        <f>IFERROR(__xludf.DUMMYFUNCTION("""COMPUTED_VALUE"""),"65-74 years")</f>
        <v>65-74 years</v>
      </c>
    </row>
    <row r="162">
      <c r="A162" s="11"/>
      <c r="B162" s="11">
        <v>7.0</v>
      </c>
      <c r="C162" s="7" t="s">
        <v>24</v>
      </c>
      <c r="D162" s="53">
        <v>8524.0</v>
      </c>
      <c r="E162" s="11">
        <v>1.9</v>
      </c>
      <c r="F162" s="11">
        <v>33.8</v>
      </c>
      <c r="G162" s="51" t="str">
        <f t="shared" si="1"/>
        <v>All races, both sexes, 65-74 years</v>
      </c>
      <c r="H162" s="51" t="str">
        <f t="shared" si="2"/>
        <v>All races, both sexes, 65-74 years</v>
      </c>
      <c r="I162" s="52"/>
      <c r="J162" s="5" t="str">
        <f>IFERROR(__xludf.DUMMYFUNCTION("IFERROR(SPLIT(H162, "", "", FALSE, TRUE), )"),"All races")</f>
        <v>All races</v>
      </c>
      <c r="K162" s="5" t="str">
        <f>IFERROR(__xludf.DUMMYFUNCTION("""COMPUTED_VALUE"""),"both sexes")</f>
        <v>both sexes</v>
      </c>
      <c r="L162" s="5" t="str">
        <f>IFERROR(__xludf.DUMMYFUNCTION("""COMPUTED_VALUE"""),"65-74 years")</f>
        <v>65-74 years</v>
      </c>
    </row>
    <row r="163">
      <c r="A163" s="11"/>
      <c r="B163" s="11">
        <v>8.0</v>
      </c>
      <c r="C163" s="7" t="s">
        <v>26</v>
      </c>
      <c r="D163" s="53">
        <v>7693.0</v>
      </c>
      <c r="E163" s="11">
        <v>1.7</v>
      </c>
      <c r="F163" s="11">
        <v>30.5</v>
      </c>
      <c r="G163" s="51" t="str">
        <f t="shared" si="1"/>
        <v>All races, both sexes, 65-74 years</v>
      </c>
      <c r="H163" s="51" t="str">
        <f t="shared" si="2"/>
        <v>All races, both sexes, 65-74 years</v>
      </c>
      <c r="I163" s="52"/>
      <c r="J163" s="5" t="str">
        <f>IFERROR(__xludf.DUMMYFUNCTION("IFERROR(SPLIT(H163, "", "", FALSE, TRUE), )"),"All races")</f>
        <v>All races</v>
      </c>
      <c r="K163" s="5" t="str">
        <f>IFERROR(__xludf.DUMMYFUNCTION("""COMPUTED_VALUE"""),"both sexes")</f>
        <v>both sexes</v>
      </c>
      <c r="L163" s="5" t="str">
        <f>IFERROR(__xludf.DUMMYFUNCTION("""COMPUTED_VALUE"""),"65-74 years")</f>
        <v>65-74 years</v>
      </c>
    </row>
    <row r="164">
      <c r="A164" s="11"/>
      <c r="B164" s="11">
        <v>9.0</v>
      </c>
      <c r="C164" s="7" t="s">
        <v>23</v>
      </c>
      <c r="D164" s="53">
        <v>7441.0</v>
      </c>
      <c r="E164" s="11">
        <v>1.6</v>
      </c>
      <c r="F164" s="11">
        <v>29.5</v>
      </c>
      <c r="G164" s="51" t="str">
        <f t="shared" si="1"/>
        <v>All races, both sexes, 65-74 years</v>
      </c>
      <c r="H164" s="51" t="str">
        <f t="shared" si="2"/>
        <v>All races, both sexes, 65-74 years</v>
      </c>
      <c r="I164" s="52"/>
      <c r="J164" s="5" t="str">
        <f>IFERROR(__xludf.DUMMYFUNCTION("IFERROR(SPLIT(H164, "", "", FALSE, TRUE), )"),"All races")</f>
        <v>All races</v>
      </c>
      <c r="K164" s="5" t="str">
        <f>IFERROR(__xludf.DUMMYFUNCTION("""COMPUTED_VALUE"""),"both sexes")</f>
        <v>both sexes</v>
      </c>
      <c r="L164" s="5" t="str">
        <f>IFERROR(__xludf.DUMMYFUNCTION("""COMPUTED_VALUE"""),"65-74 years")</f>
        <v>65-74 years</v>
      </c>
    </row>
    <row r="165">
      <c r="A165" s="11"/>
      <c r="B165" s="11">
        <v>10.0</v>
      </c>
      <c r="C165" s="7" t="s">
        <v>27</v>
      </c>
      <c r="D165" s="53">
        <v>7087.0</v>
      </c>
      <c r="E165" s="11">
        <v>1.6</v>
      </c>
      <c r="F165" s="11">
        <v>28.1</v>
      </c>
      <c r="G165" s="51" t="str">
        <f t="shared" si="1"/>
        <v>All races, both sexes, 65-74 years</v>
      </c>
      <c r="H165" s="51" t="str">
        <f t="shared" si="2"/>
        <v>All races, both sexes, 65-74 years</v>
      </c>
      <c r="I165" s="52"/>
      <c r="J165" s="5" t="str">
        <f>IFERROR(__xludf.DUMMYFUNCTION("IFERROR(SPLIT(H165, "", "", FALSE, TRUE), )"),"All races")</f>
        <v>All races</v>
      </c>
      <c r="K165" s="5" t="str">
        <f>IFERROR(__xludf.DUMMYFUNCTION("""COMPUTED_VALUE"""),"both sexes")</f>
        <v>both sexes</v>
      </c>
      <c r="L165" s="5" t="str">
        <f>IFERROR(__xludf.DUMMYFUNCTION("""COMPUTED_VALUE"""),"65-74 years")</f>
        <v>65-74 years</v>
      </c>
    </row>
    <row r="166">
      <c r="A166" s="11"/>
      <c r="B166" s="11">
        <v>11.0</v>
      </c>
      <c r="C166" s="7" t="s">
        <v>21</v>
      </c>
      <c r="D166" s="53">
        <v>4561.0</v>
      </c>
      <c r="E166" s="11">
        <v>1.0</v>
      </c>
      <c r="F166" s="11">
        <v>18.1</v>
      </c>
      <c r="G166" s="51" t="str">
        <f t="shared" si="1"/>
        <v>All races, both sexes, 65-74 years</v>
      </c>
      <c r="H166" s="51" t="str">
        <f t="shared" si="2"/>
        <v>All races, both sexes, 65-74 years</v>
      </c>
      <c r="I166" s="52"/>
      <c r="J166" s="5" t="str">
        <f>IFERROR(__xludf.DUMMYFUNCTION("IFERROR(SPLIT(H166, "", "", FALSE, TRUE), )"),"All races")</f>
        <v>All races</v>
      </c>
      <c r="K166" s="5" t="str">
        <f>IFERROR(__xludf.DUMMYFUNCTION("""COMPUTED_VALUE"""),"both sexes")</f>
        <v>both sexes</v>
      </c>
      <c r="L166" s="5" t="str">
        <f>IFERROR(__xludf.DUMMYFUNCTION("""COMPUTED_VALUE"""),"65-74 years")</f>
        <v>65-74 years</v>
      </c>
    </row>
    <row r="167">
      <c r="A167" s="11"/>
      <c r="B167" s="11">
        <v>12.0</v>
      </c>
      <c r="C167" s="7" t="s">
        <v>28</v>
      </c>
      <c r="D167" s="53">
        <v>4357.0</v>
      </c>
      <c r="E167" s="11">
        <v>1.0</v>
      </c>
      <c r="F167" s="11">
        <v>17.3</v>
      </c>
      <c r="G167" s="51" t="str">
        <f t="shared" si="1"/>
        <v>All races, both sexes, 65-74 years</v>
      </c>
      <c r="H167" s="51" t="str">
        <f t="shared" si="2"/>
        <v>All races, both sexes, 65-74 years</v>
      </c>
      <c r="I167" s="52"/>
      <c r="J167" s="5" t="str">
        <f>IFERROR(__xludf.DUMMYFUNCTION("IFERROR(SPLIT(H167, "", "", FALSE, TRUE), )"),"All races")</f>
        <v>All races</v>
      </c>
      <c r="K167" s="5" t="str">
        <f>IFERROR(__xludf.DUMMYFUNCTION("""COMPUTED_VALUE"""),"both sexes")</f>
        <v>both sexes</v>
      </c>
      <c r="L167" s="5" t="str">
        <f>IFERROR(__xludf.DUMMYFUNCTION("""COMPUTED_VALUE"""),"65-74 years")</f>
        <v>65-74 years</v>
      </c>
    </row>
    <row r="168">
      <c r="A168" s="11"/>
      <c r="B168" s="11">
        <v>13.0</v>
      </c>
      <c r="C168" s="7" t="s">
        <v>25</v>
      </c>
      <c r="D168" s="53">
        <v>3794.0</v>
      </c>
      <c r="E168" s="11">
        <v>0.8</v>
      </c>
      <c r="F168" s="11">
        <v>15.0</v>
      </c>
      <c r="G168" s="51" t="str">
        <f t="shared" si="1"/>
        <v>All races, both sexes, 65-74 years</v>
      </c>
      <c r="H168" s="51" t="str">
        <f t="shared" si="2"/>
        <v>All races, both sexes, 65-74 years</v>
      </c>
      <c r="I168" s="52"/>
      <c r="J168" s="5" t="str">
        <f>IFERROR(__xludf.DUMMYFUNCTION("IFERROR(SPLIT(H168, "", "", FALSE, TRUE), )"),"All races")</f>
        <v>All races</v>
      </c>
      <c r="K168" s="5" t="str">
        <f>IFERROR(__xludf.DUMMYFUNCTION("""COMPUTED_VALUE"""),"both sexes")</f>
        <v>both sexes</v>
      </c>
      <c r="L168" s="5" t="str">
        <f>IFERROR(__xludf.DUMMYFUNCTION("""COMPUTED_VALUE"""),"65-74 years")</f>
        <v>65-74 years</v>
      </c>
    </row>
    <row r="169">
      <c r="A169" s="11"/>
      <c r="B169" s="11">
        <v>14.0</v>
      </c>
      <c r="C169" s="7" t="s">
        <v>29</v>
      </c>
      <c r="D169" s="53">
        <v>3215.0</v>
      </c>
      <c r="E169" s="11">
        <v>0.7</v>
      </c>
      <c r="F169" s="11">
        <v>12.7</v>
      </c>
      <c r="G169" s="51" t="str">
        <f t="shared" si="1"/>
        <v>All races, both sexes, 65-74 years</v>
      </c>
      <c r="H169" s="51" t="str">
        <f t="shared" si="2"/>
        <v>All races, both sexes, 65-74 years</v>
      </c>
      <c r="I169" s="52"/>
      <c r="J169" s="5" t="str">
        <f>IFERROR(__xludf.DUMMYFUNCTION("IFERROR(SPLIT(H169, "", "", FALSE, TRUE), )"),"All races")</f>
        <v>All races</v>
      </c>
      <c r="K169" s="5" t="str">
        <f>IFERROR(__xludf.DUMMYFUNCTION("""COMPUTED_VALUE"""),"both sexes")</f>
        <v>both sexes</v>
      </c>
      <c r="L169" s="5" t="str">
        <f>IFERROR(__xludf.DUMMYFUNCTION("""COMPUTED_VALUE"""),"65-74 years")</f>
        <v>65-74 years</v>
      </c>
    </row>
    <row r="170">
      <c r="A170" s="11"/>
      <c r="B170" s="11">
        <v>15.0</v>
      </c>
      <c r="C170" s="7" t="s">
        <v>35</v>
      </c>
      <c r="D170" s="53">
        <v>2773.0</v>
      </c>
      <c r="E170" s="11">
        <v>0.6</v>
      </c>
      <c r="F170" s="11">
        <v>11.0</v>
      </c>
      <c r="G170" s="51" t="str">
        <f t="shared" si="1"/>
        <v>All races, both sexes, 65-74 years</v>
      </c>
      <c r="H170" s="51" t="str">
        <f t="shared" si="2"/>
        <v>All races, both sexes, 65-74 years</v>
      </c>
      <c r="I170" s="52"/>
      <c r="J170" s="5" t="str">
        <f>IFERROR(__xludf.DUMMYFUNCTION("IFERROR(SPLIT(H170, "", "", FALSE, TRUE), )"),"All races")</f>
        <v>All races</v>
      </c>
      <c r="K170" s="5" t="str">
        <f>IFERROR(__xludf.DUMMYFUNCTION("""COMPUTED_VALUE"""),"both sexes")</f>
        <v>both sexes</v>
      </c>
      <c r="L170" s="5" t="str">
        <f>IFERROR(__xludf.DUMMYFUNCTION("""COMPUTED_VALUE"""),"65-74 years")</f>
        <v>65-74 years</v>
      </c>
    </row>
    <row r="171">
      <c r="A171" s="7"/>
      <c r="B171" s="7" t="s">
        <v>12</v>
      </c>
      <c r="C171" s="7" t="s">
        <v>31</v>
      </c>
      <c r="D171" s="53">
        <v>68429.0</v>
      </c>
      <c r="E171" s="11">
        <v>15.1</v>
      </c>
      <c r="F171" s="11">
        <v>271.4</v>
      </c>
      <c r="G171" s="51" t="str">
        <f t="shared" si="1"/>
        <v>All races, both sexes, 65-74 years</v>
      </c>
      <c r="H171" s="51" t="str">
        <f t="shared" si="2"/>
        <v>All races, both sexes, 65-74 years</v>
      </c>
      <c r="I171" s="52"/>
      <c r="J171" s="5" t="str">
        <f>IFERROR(__xludf.DUMMYFUNCTION("IFERROR(SPLIT(H171, "", "", FALSE, TRUE), )"),"All races")</f>
        <v>All races</v>
      </c>
      <c r="K171" s="5" t="str">
        <f>IFERROR(__xludf.DUMMYFUNCTION("""COMPUTED_VALUE"""),"both sexes")</f>
        <v>both sexes</v>
      </c>
      <c r="L171" s="5" t="str">
        <f>IFERROR(__xludf.DUMMYFUNCTION("""COMPUTED_VALUE"""),"65-74 years")</f>
        <v>65-74 years</v>
      </c>
    </row>
    <row r="172">
      <c r="A172" s="49" t="s">
        <v>89</v>
      </c>
      <c r="B172" s="49" t="s">
        <v>101</v>
      </c>
      <c r="G172" s="51" t="str">
        <f t="shared" si="1"/>
        <v>All races, both sexes, 65-74 years</v>
      </c>
      <c r="H172" s="51" t="str">
        <f t="shared" si="2"/>
        <v/>
      </c>
      <c r="I172" s="52"/>
      <c r="J172" s="5" t="str">
        <f>IFERROR(__xludf.DUMMYFUNCTION("IFERROR(SPLIT(H172, "", "", FALSE, TRUE), )"),"")</f>
        <v/>
      </c>
    </row>
    <row r="173">
      <c r="A173" s="3"/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  <c r="G173" s="51" t="str">
        <f t="shared" si="1"/>
        <v>All races, both sexes, 75-84 years</v>
      </c>
      <c r="H173" s="51" t="str">
        <f t="shared" si="2"/>
        <v/>
      </c>
      <c r="I173" s="52"/>
      <c r="J173" s="5" t="str">
        <f>IFERROR(__xludf.DUMMYFUNCTION("IFERROR(SPLIT(H173, "", "", FALSE, TRUE), )"),"")</f>
        <v/>
      </c>
    </row>
    <row r="174">
      <c r="A174" s="7"/>
      <c r="B174" s="7" t="s">
        <v>12</v>
      </c>
      <c r="C174" s="7" t="s">
        <v>13</v>
      </c>
      <c r="D174" s="53">
        <v>625013.0</v>
      </c>
      <c r="E174" s="11">
        <v>100.0</v>
      </c>
      <c r="F174" s="54">
        <v>4648.1</v>
      </c>
      <c r="G174" s="51" t="str">
        <f t="shared" si="1"/>
        <v>All races, both sexes, 75-84 years</v>
      </c>
      <c r="H174" s="51" t="str">
        <f t="shared" si="2"/>
        <v>All races, both sexes, 75-84 years</v>
      </c>
      <c r="I174" s="52"/>
      <c r="J174" s="5" t="str">
        <f>IFERROR(__xludf.DUMMYFUNCTION("IFERROR(SPLIT(H174, "", "", FALSE, TRUE), )"),"All races")</f>
        <v>All races</v>
      </c>
      <c r="K174" s="5" t="str">
        <f>IFERROR(__xludf.DUMMYFUNCTION("""COMPUTED_VALUE"""),"both sexes")</f>
        <v>both sexes</v>
      </c>
      <c r="L174" s="5" t="str">
        <f>IFERROR(__xludf.DUMMYFUNCTION("""COMPUTED_VALUE"""),"75-84 years")</f>
        <v>75-84 years</v>
      </c>
    </row>
    <row r="175">
      <c r="A175" s="11"/>
      <c r="B175" s="11">
        <v>1.0</v>
      </c>
      <c r="C175" s="7" t="s">
        <v>17</v>
      </c>
      <c r="D175" s="53">
        <v>153214.0</v>
      </c>
      <c r="E175" s="11">
        <v>24.5</v>
      </c>
      <c r="F175" s="54">
        <v>1139.4</v>
      </c>
      <c r="G175" s="51" t="str">
        <f t="shared" si="1"/>
        <v>All races, both sexes, 75-84 years</v>
      </c>
      <c r="H175" s="51" t="str">
        <f t="shared" si="2"/>
        <v>All races, both sexes, 75-84 years</v>
      </c>
      <c r="I175" s="52"/>
      <c r="J175" s="5" t="str">
        <f>IFERROR(__xludf.DUMMYFUNCTION("IFERROR(SPLIT(H175, "", "", FALSE, TRUE), )"),"All races")</f>
        <v>All races</v>
      </c>
      <c r="K175" s="5" t="str">
        <f>IFERROR(__xludf.DUMMYFUNCTION("""COMPUTED_VALUE"""),"both sexes")</f>
        <v>both sexes</v>
      </c>
      <c r="L175" s="5" t="str">
        <f>IFERROR(__xludf.DUMMYFUNCTION("""COMPUTED_VALUE"""),"75-84 years")</f>
        <v>75-84 years</v>
      </c>
    </row>
    <row r="176">
      <c r="A176" s="11"/>
      <c r="B176" s="11">
        <v>2.0</v>
      </c>
      <c r="C176" s="7" t="s">
        <v>16</v>
      </c>
      <c r="D176" s="53">
        <v>147255.0</v>
      </c>
      <c r="E176" s="11">
        <v>23.6</v>
      </c>
      <c r="F176" s="54">
        <v>1095.1</v>
      </c>
      <c r="G176" s="51" t="str">
        <f t="shared" si="1"/>
        <v>All races, both sexes, 75-84 years</v>
      </c>
      <c r="H176" s="51" t="str">
        <f t="shared" si="2"/>
        <v>All races, both sexes, 75-84 years</v>
      </c>
      <c r="I176" s="52"/>
      <c r="J176" s="5" t="str">
        <f>IFERROR(__xludf.DUMMYFUNCTION("IFERROR(SPLIT(H176, "", "", FALSE, TRUE), )"),"All races")</f>
        <v>All races</v>
      </c>
      <c r="K176" s="5" t="str">
        <f>IFERROR(__xludf.DUMMYFUNCTION("""COMPUTED_VALUE"""),"both sexes")</f>
        <v>both sexes</v>
      </c>
      <c r="L176" s="5" t="str">
        <f>IFERROR(__xludf.DUMMYFUNCTION("""COMPUTED_VALUE"""),"75-84 years")</f>
        <v>75-84 years</v>
      </c>
    </row>
    <row r="177">
      <c r="A177" s="11"/>
      <c r="B177" s="11">
        <v>3.0</v>
      </c>
      <c r="C177" s="7" t="s">
        <v>18</v>
      </c>
      <c r="D177" s="53">
        <v>49346.0</v>
      </c>
      <c r="E177" s="11">
        <v>7.9</v>
      </c>
      <c r="F177" s="11">
        <v>367.0</v>
      </c>
      <c r="G177" s="51" t="str">
        <f t="shared" si="1"/>
        <v>All races, both sexes, 75-84 years</v>
      </c>
      <c r="H177" s="51" t="str">
        <f t="shared" si="2"/>
        <v>All races, both sexes, 75-84 years</v>
      </c>
      <c r="I177" s="52"/>
      <c r="J177" s="5" t="str">
        <f>IFERROR(__xludf.DUMMYFUNCTION("IFERROR(SPLIT(H177, "", "", FALSE, TRUE), )"),"All races")</f>
        <v>All races</v>
      </c>
      <c r="K177" s="5" t="str">
        <f>IFERROR(__xludf.DUMMYFUNCTION("""COMPUTED_VALUE"""),"both sexes")</f>
        <v>both sexes</v>
      </c>
      <c r="L177" s="5" t="str">
        <f>IFERROR(__xludf.DUMMYFUNCTION("""COMPUTED_VALUE"""),"75-84 years")</f>
        <v>75-84 years</v>
      </c>
    </row>
    <row r="178">
      <c r="A178" s="11"/>
      <c r="B178" s="11">
        <v>4.0</v>
      </c>
      <c r="C178" s="7" t="s">
        <v>20</v>
      </c>
      <c r="D178" s="53">
        <v>36151.0</v>
      </c>
      <c r="E178" s="11">
        <v>5.8</v>
      </c>
      <c r="F178" s="11">
        <v>268.9</v>
      </c>
      <c r="G178" s="51" t="str">
        <f t="shared" si="1"/>
        <v>All races, both sexes, 75-84 years</v>
      </c>
      <c r="H178" s="51" t="str">
        <f t="shared" si="2"/>
        <v>All races, both sexes, 75-84 years</v>
      </c>
      <c r="I178" s="52"/>
      <c r="J178" s="5" t="str">
        <f>IFERROR(__xludf.DUMMYFUNCTION("IFERROR(SPLIT(H178, "", "", FALSE, TRUE), )"),"All races")</f>
        <v>All races</v>
      </c>
      <c r="K178" s="5" t="str">
        <f>IFERROR(__xludf.DUMMYFUNCTION("""COMPUTED_VALUE"""),"both sexes")</f>
        <v>both sexes</v>
      </c>
      <c r="L178" s="5" t="str">
        <f>IFERROR(__xludf.DUMMYFUNCTION("""COMPUTED_VALUE"""),"75-84 years")</f>
        <v>75-84 years</v>
      </c>
    </row>
    <row r="179">
      <c r="A179" s="11"/>
      <c r="B179" s="11">
        <v>5.0</v>
      </c>
      <c r="C179" s="7" t="s">
        <v>21</v>
      </c>
      <c r="D179" s="53">
        <v>23073.0</v>
      </c>
      <c r="E179" s="11">
        <v>3.7</v>
      </c>
      <c r="F179" s="11">
        <v>171.6</v>
      </c>
      <c r="G179" s="51" t="str">
        <f t="shared" si="1"/>
        <v>All races, both sexes, 75-84 years</v>
      </c>
      <c r="H179" s="51" t="str">
        <f t="shared" si="2"/>
        <v>All races, both sexes, 75-84 years</v>
      </c>
      <c r="I179" s="52"/>
      <c r="J179" s="5" t="str">
        <f>IFERROR(__xludf.DUMMYFUNCTION("IFERROR(SPLIT(H179, "", "", FALSE, TRUE), )"),"All races")</f>
        <v>All races</v>
      </c>
      <c r="K179" s="5" t="str">
        <f>IFERROR(__xludf.DUMMYFUNCTION("""COMPUTED_VALUE"""),"both sexes")</f>
        <v>both sexes</v>
      </c>
      <c r="L179" s="5" t="str">
        <f>IFERROR(__xludf.DUMMYFUNCTION("""COMPUTED_VALUE"""),"75-84 years")</f>
        <v>75-84 years</v>
      </c>
    </row>
    <row r="180">
      <c r="A180" s="11"/>
      <c r="B180" s="11">
        <v>6.0</v>
      </c>
      <c r="C180" s="7" t="s">
        <v>22</v>
      </c>
      <c r="D180" s="53">
        <v>19587.0</v>
      </c>
      <c r="E180" s="11">
        <v>3.1</v>
      </c>
      <c r="F180" s="11">
        <v>145.7</v>
      </c>
      <c r="G180" s="51" t="str">
        <f t="shared" si="1"/>
        <v>All races, both sexes, 75-84 years</v>
      </c>
      <c r="H180" s="51" t="str">
        <f t="shared" si="2"/>
        <v>All races, both sexes, 75-84 years</v>
      </c>
      <c r="I180" s="52"/>
      <c r="J180" s="5" t="str">
        <f>IFERROR(__xludf.DUMMYFUNCTION("IFERROR(SPLIT(H180, "", "", FALSE, TRUE), )"),"All races")</f>
        <v>All races</v>
      </c>
      <c r="K180" s="5" t="str">
        <f>IFERROR(__xludf.DUMMYFUNCTION("""COMPUTED_VALUE"""),"both sexes")</f>
        <v>both sexes</v>
      </c>
      <c r="L180" s="5" t="str">
        <f>IFERROR(__xludf.DUMMYFUNCTION("""COMPUTED_VALUE"""),"75-84 years")</f>
        <v>75-84 years</v>
      </c>
    </row>
    <row r="181">
      <c r="A181" s="11"/>
      <c r="B181" s="11">
        <v>7.0</v>
      </c>
      <c r="C181" s="7" t="s">
        <v>19</v>
      </c>
      <c r="D181" s="53">
        <v>14438.0</v>
      </c>
      <c r="E181" s="11">
        <v>2.3</v>
      </c>
      <c r="F181" s="11">
        <v>107.4</v>
      </c>
      <c r="G181" s="51" t="str">
        <f t="shared" si="1"/>
        <v>All races, both sexes, 75-84 years</v>
      </c>
      <c r="H181" s="51" t="str">
        <f t="shared" si="2"/>
        <v>All races, both sexes, 75-84 years</v>
      </c>
      <c r="I181" s="52"/>
      <c r="J181" s="5" t="str">
        <f>IFERROR(__xludf.DUMMYFUNCTION("IFERROR(SPLIT(H181, "", "", FALSE, TRUE), )"),"All races")</f>
        <v>All races</v>
      </c>
      <c r="K181" s="5" t="str">
        <f>IFERROR(__xludf.DUMMYFUNCTION("""COMPUTED_VALUE"""),"both sexes")</f>
        <v>both sexes</v>
      </c>
      <c r="L181" s="5" t="str">
        <f>IFERROR(__xludf.DUMMYFUNCTION("""COMPUTED_VALUE"""),"75-84 years")</f>
        <v>75-84 years</v>
      </c>
    </row>
    <row r="182">
      <c r="A182" s="11"/>
      <c r="B182" s="11">
        <v>8.0</v>
      </c>
      <c r="C182" s="7" t="s">
        <v>23</v>
      </c>
      <c r="D182" s="53">
        <v>13949.0</v>
      </c>
      <c r="E182" s="11">
        <v>2.2</v>
      </c>
      <c r="F182" s="11">
        <v>103.7</v>
      </c>
      <c r="G182" s="51" t="str">
        <f t="shared" si="1"/>
        <v>All races, both sexes, 75-84 years</v>
      </c>
      <c r="H182" s="51" t="str">
        <f t="shared" si="2"/>
        <v>All races, both sexes, 75-84 years</v>
      </c>
      <c r="I182" s="52"/>
      <c r="J182" s="5" t="str">
        <f>IFERROR(__xludf.DUMMYFUNCTION("IFERROR(SPLIT(H182, "", "", FALSE, TRUE), )"),"All races")</f>
        <v>All races</v>
      </c>
      <c r="K182" s="5" t="str">
        <f>IFERROR(__xludf.DUMMYFUNCTION("""COMPUTED_VALUE"""),"both sexes")</f>
        <v>both sexes</v>
      </c>
      <c r="L182" s="5" t="str">
        <f>IFERROR(__xludf.DUMMYFUNCTION("""COMPUTED_VALUE"""),"75-84 years")</f>
        <v>75-84 years</v>
      </c>
    </row>
    <row r="183">
      <c r="A183" s="11"/>
      <c r="B183" s="11">
        <v>9.0</v>
      </c>
      <c r="C183" s="7" t="s">
        <v>24</v>
      </c>
      <c r="D183" s="53">
        <v>13317.0</v>
      </c>
      <c r="E183" s="11">
        <v>2.1</v>
      </c>
      <c r="F183" s="11">
        <v>99.0</v>
      </c>
      <c r="G183" s="51" t="str">
        <f t="shared" si="1"/>
        <v>All races, both sexes, 75-84 years</v>
      </c>
      <c r="H183" s="51" t="str">
        <f t="shared" si="2"/>
        <v>All races, both sexes, 75-84 years</v>
      </c>
      <c r="I183" s="52"/>
      <c r="J183" s="5" t="str">
        <f>IFERROR(__xludf.DUMMYFUNCTION("IFERROR(SPLIT(H183, "", "", FALSE, TRUE), )"),"All races")</f>
        <v>All races</v>
      </c>
      <c r="K183" s="5" t="str">
        <f>IFERROR(__xludf.DUMMYFUNCTION("""COMPUTED_VALUE"""),"both sexes")</f>
        <v>both sexes</v>
      </c>
      <c r="L183" s="5" t="str">
        <f>IFERROR(__xludf.DUMMYFUNCTION("""COMPUTED_VALUE"""),"75-84 years")</f>
        <v>75-84 years</v>
      </c>
    </row>
    <row r="184">
      <c r="A184" s="11"/>
      <c r="B184" s="11">
        <v>10.0</v>
      </c>
      <c r="C184" s="7" t="s">
        <v>29</v>
      </c>
      <c r="D184" s="53">
        <v>10549.0</v>
      </c>
      <c r="E184" s="11">
        <v>1.7</v>
      </c>
      <c r="F184" s="11">
        <v>78.5</v>
      </c>
      <c r="G184" s="51" t="str">
        <f t="shared" si="1"/>
        <v>All races, both sexes, 75-84 years</v>
      </c>
      <c r="H184" s="51" t="str">
        <f t="shared" si="2"/>
        <v>All races, both sexes, 75-84 years</v>
      </c>
      <c r="I184" s="52"/>
      <c r="J184" s="5" t="str">
        <f>IFERROR(__xludf.DUMMYFUNCTION("IFERROR(SPLIT(H184, "", "", FALSE, TRUE), )"),"All races")</f>
        <v>All races</v>
      </c>
      <c r="K184" s="5" t="str">
        <f>IFERROR(__xludf.DUMMYFUNCTION("""COMPUTED_VALUE"""),"both sexes")</f>
        <v>both sexes</v>
      </c>
      <c r="L184" s="5" t="str">
        <f>IFERROR(__xludf.DUMMYFUNCTION("""COMPUTED_VALUE"""),"75-84 years")</f>
        <v>75-84 years</v>
      </c>
    </row>
    <row r="185">
      <c r="A185" s="11"/>
      <c r="B185" s="11">
        <v>11.0</v>
      </c>
      <c r="C185" s="7" t="s">
        <v>26</v>
      </c>
      <c r="D185" s="53">
        <v>10274.0</v>
      </c>
      <c r="E185" s="11">
        <v>1.6</v>
      </c>
      <c r="F185" s="11">
        <v>76.4</v>
      </c>
      <c r="G185" s="51" t="str">
        <f t="shared" si="1"/>
        <v>All races, both sexes, 75-84 years</v>
      </c>
      <c r="H185" s="51" t="str">
        <f t="shared" si="2"/>
        <v>All races, both sexes, 75-84 years</v>
      </c>
      <c r="I185" s="52"/>
      <c r="J185" s="5" t="str">
        <f>IFERROR(__xludf.DUMMYFUNCTION("IFERROR(SPLIT(H185, "", "", FALSE, TRUE), )"),"All races")</f>
        <v>All races</v>
      </c>
      <c r="K185" s="5" t="str">
        <f>IFERROR(__xludf.DUMMYFUNCTION("""COMPUTED_VALUE"""),"both sexes")</f>
        <v>both sexes</v>
      </c>
      <c r="L185" s="5" t="str">
        <f>IFERROR(__xludf.DUMMYFUNCTION("""COMPUTED_VALUE"""),"75-84 years")</f>
        <v>75-84 years</v>
      </c>
    </row>
    <row r="186">
      <c r="A186" s="11"/>
      <c r="B186" s="11">
        <v>12.0</v>
      </c>
      <c r="C186" s="7" t="s">
        <v>28</v>
      </c>
      <c r="D186" s="53">
        <v>7216.0</v>
      </c>
      <c r="E186" s="11">
        <v>1.2</v>
      </c>
      <c r="F186" s="11">
        <v>53.7</v>
      </c>
      <c r="G186" s="51" t="str">
        <f t="shared" si="1"/>
        <v>All races, both sexes, 75-84 years</v>
      </c>
      <c r="H186" s="51" t="str">
        <f t="shared" si="2"/>
        <v>All races, both sexes, 75-84 years</v>
      </c>
      <c r="I186" s="52"/>
      <c r="J186" s="5" t="str">
        <f>IFERROR(__xludf.DUMMYFUNCTION("IFERROR(SPLIT(H186, "", "", FALSE, TRUE), )"),"All races")</f>
        <v>All races</v>
      </c>
      <c r="K186" s="5" t="str">
        <f>IFERROR(__xludf.DUMMYFUNCTION("""COMPUTED_VALUE"""),"both sexes")</f>
        <v>both sexes</v>
      </c>
      <c r="L186" s="5" t="str">
        <f>IFERROR(__xludf.DUMMYFUNCTION("""COMPUTED_VALUE"""),"75-84 years")</f>
        <v>75-84 years</v>
      </c>
    </row>
    <row r="187">
      <c r="A187" s="11"/>
      <c r="B187" s="11">
        <v>13.0</v>
      </c>
      <c r="C187" s="7" t="s">
        <v>30</v>
      </c>
      <c r="D187" s="53">
        <v>4933.0</v>
      </c>
      <c r="E187" s="11">
        <v>0.8</v>
      </c>
      <c r="F187" s="11">
        <v>36.7</v>
      </c>
      <c r="G187" s="51" t="str">
        <f t="shared" si="1"/>
        <v>All races, both sexes, 75-84 years</v>
      </c>
      <c r="H187" s="51" t="str">
        <f t="shared" si="2"/>
        <v>All races, both sexes, 75-84 years</v>
      </c>
      <c r="I187" s="52"/>
      <c r="J187" s="5" t="str">
        <f>IFERROR(__xludf.DUMMYFUNCTION("IFERROR(SPLIT(H187, "", "", FALSE, TRUE), )"),"All races")</f>
        <v>All races</v>
      </c>
      <c r="K187" s="5" t="str">
        <f>IFERROR(__xludf.DUMMYFUNCTION("""COMPUTED_VALUE"""),"both sexes")</f>
        <v>both sexes</v>
      </c>
      <c r="L187" s="5" t="str">
        <f>IFERROR(__xludf.DUMMYFUNCTION("""COMPUTED_VALUE"""),"75-84 years")</f>
        <v>75-84 years</v>
      </c>
    </row>
    <row r="188">
      <c r="A188" s="11"/>
      <c r="B188" s="11">
        <v>14.0</v>
      </c>
      <c r="C188" s="7" t="s">
        <v>35</v>
      </c>
      <c r="D188" s="53">
        <v>4554.0</v>
      </c>
      <c r="E188" s="11">
        <v>0.7</v>
      </c>
      <c r="F188" s="11">
        <v>33.9</v>
      </c>
      <c r="G188" s="51" t="str">
        <f t="shared" si="1"/>
        <v>All races, both sexes, 75-84 years</v>
      </c>
      <c r="H188" s="51" t="str">
        <f t="shared" si="2"/>
        <v>All races, both sexes, 75-84 years</v>
      </c>
      <c r="I188" s="52"/>
      <c r="J188" s="5" t="str">
        <f>IFERROR(__xludf.DUMMYFUNCTION("IFERROR(SPLIT(H188, "", "", FALSE, TRUE), )"),"All races")</f>
        <v>All races</v>
      </c>
      <c r="K188" s="5" t="str">
        <f>IFERROR(__xludf.DUMMYFUNCTION("""COMPUTED_VALUE"""),"both sexes")</f>
        <v>both sexes</v>
      </c>
      <c r="L188" s="5" t="str">
        <f>IFERROR(__xludf.DUMMYFUNCTION("""COMPUTED_VALUE"""),"75-84 years")</f>
        <v>75-84 years</v>
      </c>
    </row>
    <row r="189">
      <c r="A189" s="11"/>
      <c r="B189" s="11">
        <v>15.0</v>
      </c>
      <c r="C189" s="7" t="s">
        <v>27</v>
      </c>
      <c r="D189" s="53">
        <v>4014.0</v>
      </c>
      <c r="E189" s="11">
        <v>0.6</v>
      </c>
      <c r="F189" s="11">
        <v>29.9</v>
      </c>
      <c r="G189" s="51" t="str">
        <f t="shared" si="1"/>
        <v>All races, both sexes, 75-84 years</v>
      </c>
      <c r="H189" s="51" t="str">
        <f t="shared" si="2"/>
        <v>All races, both sexes, 75-84 years</v>
      </c>
      <c r="I189" s="52"/>
      <c r="J189" s="5" t="str">
        <f>IFERROR(__xludf.DUMMYFUNCTION("IFERROR(SPLIT(H189, "", "", FALSE, TRUE), )"),"All races")</f>
        <v>All races</v>
      </c>
      <c r="K189" s="5" t="str">
        <f>IFERROR(__xludf.DUMMYFUNCTION("""COMPUTED_VALUE"""),"both sexes")</f>
        <v>both sexes</v>
      </c>
      <c r="L189" s="5" t="str">
        <f>IFERROR(__xludf.DUMMYFUNCTION("""COMPUTED_VALUE"""),"75-84 years")</f>
        <v>75-84 years</v>
      </c>
    </row>
    <row r="190">
      <c r="A190" s="7"/>
      <c r="B190" s="7" t="s">
        <v>12</v>
      </c>
      <c r="C190" s="7" t="s">
        <v>31</v>
      </c>
      <c r="D190" s="53">
        <v>113143.0</v>
      </c>
      <c r="E190" s="11">
        <v>18.1</v>
      </c>
      <c r="F190" s="11">
        <v>841.4</v>
      </c>
      <c r="G190" s="51" t="str">
        <f t="shared" si="1"/>
        <v>All races, both sexes, 75-84 years</v>
      </c>
      <c r="H190" s="51" t="str">
        <f t="shared" si="2"/>
        <v>All races, both sexes, 75-84 years</v>
      </c>
      <c r="I190" s="52"/>
      <c r="J190" s="5" t="str">
        <f>IFERROR(__xludf.DUMMYFUNCTION("IFERROR(SPLIT(H190, "", "", FALSE, TRUE), )"),"All races")</f>
        <v>All races</v>
      </c>
      <c r="K190" s="5" t="str">
        <f>IFERROR(__xludf.DUMMYFUNCTION("""COMPUTED_VALUE"""),"both sexes")</f>
        <v>both sexes</v>
      </c>
      <c r="L190" s="5" t="str">
        <f>IFERROR(__xludf.DUMMYFUNCTION("""COMPUTED_VALUE"""),"75-84 years")</f>
        <v>75-84 years</v>
      </c>
    </row>
    <row r="191">
      <c r="A191" s="49" t="s">
        <v>89</v>
      </c>
      <c r="B191" s="49" t="s">
        <v>102</v>
      </c>
      <c r="G191" s="51" t="str">
        <f t="shared" si="1"/>
        <v>All races, both sexes, 75-84 years</v>
      </c>
      <c r="H191" s="51" t="str">
        <f t="shared" si="2"/>
        <v/>
      </c>
      <c r="I191" s="52"/>
      <c r="J191" s="5" t="str">
        <f>IFERROR(__xludf.DUMMYFUNCTION("IFERROR(SPLIT(H191, "", "", FALSE, TRUE), )"),"")</f>
        <v/>
      </c>
    </row>
    <row r="192">
      <c r="A192" s="3"/>
      <c r="B192" s="3" t="s">
        <v>3</v>
      </c>
      <c r="C192" s="3" t="s">
        <v>4</v>
      </c>
      <c r="D192" s="3" t="s">
        <v>5</v>
      </c>
      <c r="E192" s="3" t="s">
        <v>6</v>
      </c>
      <c r="F192" s="3" t="s">
        <v>7</v>
      </c>
      <c r="G192" s="51" t="str">
        <f t="shared" si="1"/>
        <v>All races, both sexes, 85 years and over</v>
      </c>
      <c r="H192" s="51" t="str">
        <f t="shared" si="2"/>
        <v/>
      </c>
      <c r="I192" s="52"/>
      <c r="J192" s="5" t="str">
        <f>IFERROR(__xludf.DUMMYFUNCTION("IFERROR(SPLIT(H192, "", "", FALSE, TRUE), )"),"")</f>
        <v/>
      </c>
    </row>
    <row r="193">
      <c r="A193" s="7"/>
      <c r="B193" s="7" t="s">
        <v>12</v>
      </c>
      <c r="C193" s="7" t="s">
        <v>13</v>
      </c>
      <c r="D193" s="53">
        <v>825198.0</v>
      </c>
      <c r="E193" s="11">
        <v>100.0</v>
      </c>
      <c r="F193" s="54">
        <v>13660.4</v>
      </c>
      <c r="G193" s="51" t="str">
        <f t="shared" si="1"/>
        <v>All races, both sexes, 85 years and over</v>
      </c>
      <c r="H193" s="51" t="str">
        <f t="shared" si="2"/>
        <v>All races, both sexes, 85 years and over</v>
      </c>
      <c r="I193" s="52"/>
      <c r="J193" s="5" t="str">
        <f>IFERROR(__xludf.DUMMYFUNCTION("IFERROR(SPLIT(H193, "", "", FALSE, TRUE), )"),"All races")</f>
        <v>All races</v>
      </c>
      <c r="K193" s="5" t="str">
        <f>IFERROR(__xludf.DUMMYFUNCTION("""COMPUTED_VALUE"""),"both sexes")</f>
        <v>both sexes</v>
      </c>
      <c r="L193" s="5" t="str">
        <f>IFERROR(__xludf.DUMMYFUNCTION("""COMPUTED_VALUE"""),"85 years and over")</f>
        <v>85 years and over</v>
      </c>
    </row>
    <row r="194">
      <c r="A194" s="11"/>
      <c r="B194" s="11">
        <v>1.0</v>
      </c>
      <c r="C194" s="7" t="s">
        <v>16</v>
      </c>
      <c r="D194" s="53">
        <v>242469.0</v>
      </c>
      <c r="E194" s="11">
        <v>29.4</v>
      </c>
      <c r="F194" s="54">
        <v>4013.9</v>
      </c>
      <c r="G194" s="51" t="str">
        <f t="shared" si="1"/>
        <v>All races, both sexes, 85 years and over</v>
      </c>
      <c r="H194" s="51" t="str">
        <f t="shared" si="2"/>
        <v>All races, both sexes, 85 years and over</v>
      </c>
      <c r="I194" s="52"/>
      <c r="J194" s="5" t="str">
        <f>IFERROR(__xludf.DUMMYFUNCTION("IFERROR(SPLIT(H194, "", "", FALSE, TRUE), )"),"All races")</f>
        <v>All races</v>
      </c>
      <c r="K194" s="5" t="str">
        <f>IFERROR(__xludf.DUMMYFUNCTION("""COMPUTED_VALUE"""),"both sexes")</f>
        <v>both sexes</v>
      </c>
      <c r="L194" s="5" t="str">
        <f>IFERROR(__xludf.DUMMYFUNCTION("""COMPUTED_VALUE"""),"85 years and over")</f>
        <v>85 years and over</v>
      </c>
    </row>
    <row r="195">
      <c r="A195" s="11"/>
      <c r="B195" s="11">
        <v>2.0</v>
      </c>
      <c r="C195" s="7" t="s">
        <v>17</v>
      </c>
      <c r="D195" s="53">
        <v>98792.0</v>
      </c>
      <c r="E195" s="11">
        <v>12.0</v>
      </c>
      <c r="F195" s="54">
        <v>1635.4</v>
      </c>
      <c r="G195" s="51" t="str">
        <f t="shared" si="1"/>
        <v>All races, both sexes, 85 years and over</v>
      </c>
      <c r="H195" s="51" t="str">
        <f t="shared" si="2"/>
        <v>All races, both sexes, 85 years and over</v>
      </c>
      <c r="I195" s="52"/>
      <c r="J195" s="5" t="str">
        <f>IFERROR(__xludf.DUMMYFUNCTION("IFERROR(SPLIT(H195, "", "", FALSE, TRUE), )"),"All races")</f>
        <v>All races</v>
      </c>
      <c r="K195" s="5" t="str">
        <f>IFERROR(__xludf.DUMMYFUNCTION("""COMPUTED_VALUE"""),"both sexes")</f>
        <v>both sexes</v>
      </c>
      <c r="L195" s="5" t="str">
        <f>IFERROR(__xludf.DUMMYFUNCTION("""COMPUTED_VALUE"""),"85 years and over")</f>
        <v>85 years and over</v>
      </c>
    </row>
    <row r="196">
      <c r="A196" s="11"/>
      <c r="B196" s="11">
        <v>3.0</v>
      </c>
      <c r="C196" s="7" t="s">
        <v>21</v>
      </c>
      <c r="D196" s="53">
        <v>56152.0</v>
      </c>
      <c r="E196" s="11">
        <v>6.8</v>
      </c>
      <c r="F196" s="11">
        <v>929.5</v>
      </c>
      <c r="G196" s="51" t="str">
        <f t="shared" si="1"/>
        <v>All races, both sexes, 85 years and over</v>
      </c>
      <c r="H196" s="51" t="str">
        <f t="shared" si="2"/>
        <v>All races, both sexes, 85 years and over</v>
      </c>
      <c r="I196" s="52"/>
      <c r="J196" s="5" t="str">
        <f>IFERROR(__xludf.DUMMYFUNCTION("IFERROR(SPLIT(H196, "", "", FALSE, TRUE), )"),"All races")</f>
        <v>All races</v>
      </c>
      <c r="K196" s="5" t="str">
        <f>IFERROR(__xludf.DUMMYFUNCTION("""COMPUTED_VALUE"""),"both sexes")</f>
        <v>both sexes</v>
      </c>
      <c r="L196" s="5" t="str">
        <f>IFERROR(__xludf.DUMMYFUNCTION("""COMPUTED_VALUE"""),"85 years and over")</f>
        <v>85 years and over</v>
      </c>
    </row>
    <row r="197">
      <c r="A197" s="11"/>
      <c r="B197" s="11">
        <v>4.0</v>
      </c>
      <c r="C197" s="7" t="s">
        <v>20</v>
      </c>
      <c r="D197" s="53">
        <v>54729.0</v>
      </c>
      <c r="E197" s="11">
        <v>6.6</v>
      </c>
      <c r="F197" s="11">
        <v>906.0</v>
      </c>
      <c r="G197" s="51" t="str">
        <f t="shared" si="1"/>
        <v>All races, both sexes, 85 years and over</v>
      </c>
      <c r="H197" s="51" t="str">
        <f t="shared" si="2"/>
        <v>All races, both sexes, 85 years and over</v>
      </c>
      <c r="I197" s="52"/>
      <c r="J197" s="5" t="str">
        <f>IFERROR(__xludf.DUMMYFUNCTION("IFERROR(SPLIT(H197, "", "", FALSE, TRUE), )"),"All races")</f>
        <v>All races</v>
      </c>
      <c r="K197" s="5" t="str">
        <f>IFERROR(__xludf.DUMMYFUNCTION("""COMPUTED_VALUE"""),"both sexes")</f>
        <v>both sexes</v>
      </c>
      <c r="L197" s="5" t="str">
        <f>IFERROR(__xludf.DUMMYFUNCTION("""COMPUTED_VALUE"""),"85 years and over")</f>
        <v>85 years and over</v>
      </c>
    </row>
    <row r="198">
      <c r="A198" s="11"/>
      <c r="B198" s="11">
        <v>5.0</v>
      </c>
      <c r="C198" s="7" t="s">
        <v>18</v>
      </c>
      <c r="D198" s="53">
        <v>42245.0</v>
      </c>
      <c r="E198" s="11">
        <v>5.1</v>
      </c>
      <c r="F198" s="11">
        <v>699.3</v>
      </c>
      <c r="G198" s="51" t="str">
        <f t="shared" si="1"/>
        <v>All races, both sexes, 85 years and over</v>
      </c>
      <c r="H198" s="51" t="str">
        <f t="shared" si="2"/>
        <v>All races, both sexes, 85 years and over</v>
      </c>
      <c r="I198" s="52"/>
      <c r="J198" s="5" t="str">
        <f>IFERROR(__xludf.DUMMYFUNCTION("IFERROR(SPLIT(H198, "", "", FALSE, TRUE), )"),"All races")</f>
        <v>All races</v>
      </c>
      <c r="K198" s="5" t="str">
        <f>IFERROR(__xludf.DUMMYFUNCTION("""COMPUTED_VALUE"""),"both sexes")</f>
        <v>both sexes</v>
      </c>
      <c r="L198" s="5" t="str">
        <f>IFERROR(__xludf.DUMMYFUNCTION("""COMPUTED_VALUE"""),"85 years and over")</f>
        <v>85 years and over</v>
      </c>
    </row>
    <row r="199">
      <c r="A199" s="11"/>
      <c r="B199" s="11">
        <v>6.0</v>
      </c>
      <c r="C199" s="7" t="s">
        <v>23</v>
      </c>
      <c r="D199" s="53">
        <v>26641.0</v>
      </c>
      <c r="E199" s="11">
        <v>3.2</v>
      </c>
      <c r="F199" s="11">
        <v>441.0</v>
      </c>
      <c r="G199" s="51" t="str">
        <f t="shared" si="1"/>
        <v>All races, both sexes, 85 years and over</v>
      </c>
      <c r="H199" s="51" t="str">
        <f t="shared" si="2"/>
        <v>All races, both sexes, 85 years and over</v>
      </c>
      <c r="I199" s="52"/>
      <c r="J199" s="5" t="str">
        <f>IFERROR(__xludf.DUMMYFUNCTION("IFERROR(SPLIT(H199, "", "", FALSE, TRUE), )"),"All races")</f>
        <v>All races</v>
      </c>
      <c r="K199" s="5" t="str">
        <f>IFERROR(__xludf.DUMMYFUNCTION("""COMPUTED_VALUE"""),"both sexes")</f>
        <v>both sexes</v>
      </c>
      <c r="L199" s="5" t="str">
        <f>IFERROR(__xludf.DUMMYFUNCTION("""COMPUTED_VALUE"""),"85 years and over")</f>
        <v>85 years and over</v>
      </c>
    </row>
    <row r="200">
      <c r="A200" s="11"/>
      <c r="B200" s="11">
        <v>7.0</v>
      </c>
      <c r="C200" s="7" t="s">
        <v>19</v>
      </c>
      <c r="D200" s="53">
        <v>20537.0</v>
      </c>
      <c r="E200" s="11">
        <v>2.5</v>
      </c>
      <c r="F200" s="11">
        <v>340.0</v>
      </c>
      <c r="G200" s="51" t="str">
        <f t="shared" si="1"/>
        <v>All races, both sexes, 85 years and over</v>
      </c>
      <c r="H200" s="51" t="str">
        <f t="shared" si="2"/>
        <v>All races, both sexes, 85 years and over</v>
      </c>
      <c r="I200" s="52"/>
      <c r="J200" s="5" t="str">
        <f>IFERROR(__xludf.DUMMYFUNCTION("IFERROR(SPLIT(H200, "", "", FALSE, TRUE), )"),"All races")</f>
        <v>All races</v>
      </c>
      <c r="K200" s="5" t="str">
        <f>IFERROR(__xludf.DUMMYFUNCTION("""COMPUTED_VALUE"""),"both sexes")</f>
        <v>both sexes</v>
      </c>
      <c r="L200" s="5" t="str">
        <f>IFERROR(__xludf.DUMMYFUNCTION("""COMPUTED_VALUE"""),"85 years and over")</f>
        <v>85 years and over</v>
      </c>
    </row>
    <row r="201">
      <c r="A201" s="11"/>
      <c r="B201" s="11">
        <v>8.0</v>
      </c>
      <c r="C201" s="7" t="s">
        <v>24</v>
      </c>
      <c r="D201" s="53">
        <v>17239.0</v>
      </c>
      <c r="E201" s="11">
        <v>2.1</v>
      </c>
      <c r="F201" s="11">
        <v>285.4</v>
      </c>
      <c r="G201" s="51" t="str">
        <f t="shared" si="1"/>
        <v>All races, both sexes, 85 years and over</v>
      </c>
      <c r="H201" s="51" t="str">
        <f t="shared" si="2"/>
        <v>All races, both sexes, 85 years and over</v>
      </c>
      <c r="I201" s="52"/>
      <c r="J201" s="5" t="str">
        <f>IFERROR(__xludf.DUMMYFUNCTION("IFERROR(SPLIT(H201, "", "", FALSE, TRUE), )"),"All races")</f>
        <v>All races</v>
      </c>
      <c r="K201" s="5" t="str">
        <f>IFERROR(__xludf.DUMMYFUNCTION("""COMPUTED_VALUE"""),"both sexes")</f>
        <v>both sexes</v>
      </c>
      <c r="L201" s="5" t="str">
        <f>IFERROR(__xludf.DUMMYFUNCTION("""COMPUTED_VALUE"""),"85 years and over")</f>
        <v>85 years and over</v>
      </c>
    </row>
    <row r="202">
      <c r="A202" s="11"/>
      <c r="B202" s="11">
        <v>9.0</v>
      </c>
      <c r="C202" s="7" t="s">
        <v>22</v>
      </c>
      <c r="D202" s="53">
        <v>16885.0</v>
      </c>
      <c r="E202" s="11">
        <v>2.0</v>
      </c>
      <c r="F202" s="11">
        <v>279.5</v>
      </c>
      <c r="G202" s="51" t="str">
        <f t="shared" si="1"/>
        <v>All races, both sexes, 85 years and over</v>
      </c>
      <c r="H202" s="51" t="str">
        <f t="shared" si="2"/>
        <v>All races, both sexes, 85 years and over</v>
      </c>
      <c r="I202" s="52"/>
      <c r="J202" s="5" t="str">
        <f>IFERROR(__xludf.DUMMYFUNCTION("IFERROR(SPLIT(H202, "", "", FALSE, TRUE), )"),"All races")</f>
        <v>All races</v>
      </c>
      <c r="K202" s="5" t="str">
        <f>IFERROR(__xludf.DUMMYFUNCTION("""COMPUTED_VALUE"""),"both sexes")</f>
        <v>both sexes</v>
      </c>
      <c r="L202" s="5" t="str">
        <f>IFERROR(__xludf.DUMMYFUNCTION("""COMPUTED_VALUE"""),"85 years and over")</f>
        <v>85 years and over</v>
      </c>
    </row>
    <row r="203">
      <c r="A203" s="11"/>
      <c r="B203" s="11">
        <v>10.0</v>
      </c>
      <c r="C203" s="7" t="s">
        <v>28</v>
      </c>
      <c r="D203" s="53">
        <v>13991.0</v>
      </c>
      <c r="E203" s="11">
        <v>1.7</v>
      </c>
      <c r="F203" s="11">
        <v>231.6</v>
      </c>
      <c r="G203" s="51" t="str">
        <f t="shared" si="1"/>
        <v>All races, both sexes, 85 years and over</v>
      </c>
      <c r="H203" s="51" t="str">
        <f t="shared" si="2"/>
        <v>All races, both sexes, 85 years and over</v>
      </c>
      <c r="I203" s="52"/>
      <c r="J203" s="5" t="str">
        <f>IFERROR(__xludf.DUMMYFUNCTION("IFERROR(SPLIT(H203, "", "", FALSE, TRUE), )"),"All races")</f>
        <v>All races</v>
      </c>
      <c r="K203" s="5" t="str">
        <f>IFERROR(__xludf.DUMMYFUNCTION("""COMPUTED_VALUE"""),"both sexes")</f>
        <v>both sexes</v>
      </c>
      <c r="L203" s="5" t="str">
        <f>IFERROR(__xludf.DUMMYFUNCTION("""COMPUTED_VALUE"""),"85 years and over")</f>
        <v>85 years and over</v>
      </c>
    </row>
    <row r="204">
      <c r="A204" s="11"/>
      <c r="B204" s="11">
        <v>11.0</v>
      </c>
      <c r="C204" s="7" t="s">
        <v>26</v>
      </c>
      <c r="D204" s="53">
        <v>10848.0</v>
      </c>
      <c r="E204" s="11">
        <v>1.3</v>
      </c>
      <c r="F204" s="11">
        <v>179.6</v>
      </c>
      <c r="G204" s="51" t="str">
        <f t="shared" si="1"/>
        <v>All races, both sexes, 85 years and over</v>
      </c>
      <c r="H204" s="51" t="str">
        <f t="shared" si="2"/>
        <v>All races, both sexes, 85 years and over</v>
      </c>
      <c r="I204" s="52"/>
      <c r="J204" s="5" t="str">
        <f>IFERROR(__xludf.DUMMYFUNCTION("IFERROR(SPLIT(H204, "", "", FALSE, TRUE), )"),"All races")</f>
        <v>All races</v>
      </c>
      <c r="K204" s="5" t="str">
        <f>IFERROR(__xludf.DUMMYFUNCTION("""COMPUTED_VALUE"""),"both sexes")</f>
        <v>both sexes</v>
      </c>
      <c r="L204" s="5" t="str">
        <f>IFERROR(__xludf.DUMMYFUNCTION("""COMPUTED_VALUE"""),"85 years and over")</f>
        <v>85 years and over</v>
      </c>
    </row>
    <row r="205">
      <c r="A205" s="11"/>
      <c r="B205" s="11">
        <v>12.0</v>
      </c>
      <c r="C205" s="7" t="s">
        <v>29</v>
      </c>
      <c r="D205" s="53">
        <v>10762.0</v>
      </c>
      <c r="E205" s="11">
        <v>1.3</v>
      </c>
      <c r="F205" s="11">
        <v>178.2</v>
      </c>
      <c r="G205" s="51" t="str">
        <f t="shared" si="1"/>
        <v>All races, both sexes, 85 years and over</v>
      </c>
      <c r="H205" s="51" t="str">
        <f t="shared" si="2"/>
        <v>All races, both sexes, 85 years and over</v>
      </c>
      <c r="I205" s="52"/>
      <c r="J205" s="5" t="str">
        <f>IFERROR(__xludf.DUMMYFUNCTION("IFERROR(SPLIT(H205, "", "", FALSE, TRUE), )"),"All races")</f>
        <v>All races</v>
      </c>
      <c r="K205" s="5" t="str">
        <f>IFERROR(__xludf.DUMMYFUNCTION("""COMPUTED_VALUE"""),"both sexes")</f>
        <v>both sexes</v>
      </c>
      <c r="L205" s="5" t="str">
        <f>IFERROR(__xludf.DUMMYFUNCTION("""COMPUTED_VALUE"""),"85 years and over")</f>
        <v>85 years and over</v>
      </c>
    </row>
    <row r="206">
      <c r="A206" s="11"/>
      <c r="B206" s="11">
        <v>13.0</v>
      </c>
      <c r="C206" s="7" t="s">
        <v>30</v>
      </c>
      <c r="D206" s="53">
        <v>9218.0</v>
      </c>
      <c r="E206" s="11">
        <v>1.1</v>
      </c>
      <c r="F206" s="11">
        <v>152.6</v>
      </c>
      <c r="G206" s="51" t="str">
        <f t="shared" si="1"/>
        <v>All races, both sexes, 85 years and over</v>
      </c>
      <c r="H206" s="51" t="str">
        <f t="shared" si="2"/>
        <v>All races, both sexes, 85 years and over</v>
      </c>
      <c r="I206" s="52"/>
      <c r="J206" s="5" t="str">
        <f>IFERROR(__xludf.DUMMYFUNCTION("IFERROR(SPLIT(H206, "", "", FALSE, TRUE), )"),"All races")</f>
        <v>All races</v>
      </c>
      <c r="K206" s="5" t="str">
        <f>IFERROR(__xludf.DUMMYFUNCTION("""COMPUTED_VALUE"""),"both sexes")</f>
        <v>both sexes</v>
      </c>
      <c r="L206" s="5" t="str">
        <f>IFERROR(__xludf.DUMMYFUNCTION("""COMPUTED_VALUE"""),"85 years and over")</f>
        <v>85 years and over</v>
      </c>
    </row>
    <row r="207">
      <c r="A207" s="11"/>
      <c r="B207" s="11">
        <v>14.0</v>
      </c>
      <c r="C207" s="7" t="s">
        <v>35</v>
      </c>
      <c r="D207" s="53">
        <v>5106.0</v>
      </c>
      <c r="E207" s="11">
        <v>0.6</v>
      </c>
      <c r="F207" s="11">
        <v>84.5</v>
      </c>
      <c r="G207" s="51" t="str">
        <f t="shared" si="1"/>
        <v>All races, both sexes, 85 years and over</v>
      </c>
      <c r="H207" s="51" t="str">
        <f t="shared" si="2"/>
        <v>All races, both sexes, 85 years and over</v>
      </c>
      <c r="I207" s="52"/>
      <c r="J207" s="5" t="str">
        <f>IFERROR(__xludf.DUMMYFUNCTION("IFERROR(SPLIT(H207, "", "", FALSE, TRUE), )"),"All races")</f>
        <v>All races</v>
      </c>
      <c r="K207" s="5" t="str">
        <f>IFERROR(__xludf.DUMMYFUNCTION("""COMPUTED_VALUE"""),"both sexes")</f>
        <v>both sexes</v>
      </c>
      <c r="L207" s="5" t="str">
        <f>IFERROR(__xludf.DUMMYFUNCTION("""COMPUTED_VALUE"""),"85 years and over")</f>
        <v>85 years and over</v>
      </c>
    </row>
    <row r="208">
      <c r="A208" s="11"/>
      <c r="B208" s="11">
        <v>15.0</v>
      </c>
      <c r="C208" s="7" t="s">
        <v>54</v>
      </c>
      <c r="D208" s="53">
        <v>3803.0</v>
      </c>
      <c r="E208" s="11">
        <v>0.5</v>
      </c>
      <c r="F208" s="11">
        <v>63.0</v>
      </c>
      <c r="G208" s="51" t="str">
        <f t="shared" si="1"/>
        <v>All races, both sexes, 85 years and over</v>
      </c>
      <c r="H208" s="51" t="str">
        <f t="shared" si="2"/>
        <v>All races, both sexes, 85 years and over</v>
      </c>
      <c r="I208" s="52"/>
      <c r="J208" s="5" t="str">
        <f>IFERROR(__xludf.DUMMYFUNCTION("IFERROR(SPLIT(H208, "", "", FALSE, TRUE), )"),"All races")</f>
        <v>All races</v>
      </c>
      <c r="K208" s="5" t="str">
        <f>IFERROR(__xludf.DUMMYFUNCTION("""COMPUTED_VALUE"""),"both sexes")</f>
        <v>both sexes</v>
      </c>
      <c r="L208" s="5" t="str">
        <f>IFERROR(__xludf.DUMMYFUNCTION("""COMPUTED_VALUE"""),"85 years and over")</f>
        <v>85 years and over</v>
      </c>
    </row>
    <row r="209">
      <c r="A209" s="7"/>
      <c r="B209" s="7" t="s">
        <v>12</v>
      </c>
      <c r="C209" s="7" t="s">
        <v>31</v>
      </c>
      <c r="D209" s="53">
        <v>195781.0</v>
      </c>
      <c r="E209" s="11">
        <v>23.7</v>
      </c>
      <c r="F209" s="54">
        <v>3241.0</v>
      </c>
      <c r="G209" s="51" t="str">
        <f t="shared" si="1"/>
        <v>All races, both sexes, 85 years and over</v>
      </c>
      <c r="H209" s="51" t="str">
        <f t="shared" si="2"/>
        <v>All races, both sexes, 85 years and over</v>
      </c>
      <c r="I209" s="52"/>
      <c r="J209" s="5" t="str">
        <f>IFERROR(__xludf.DUMMYFUNCTION("IFERROR(SPLIT(H209, "", "", FALSE, TRUE), )"),"All races")</f>
        <v>All races</v>
      </c>
      <c r="K209" s="5" t="str">
        <f>IFERROR(__xludf.DUMMYFUNCTION("""COMPUTED_VALUE"""),"both sexes")</f>
        <v>both sexes</v>
      </c>
      <c r="L209" s="5" t="str">
        <f>IFERROR(__xludf.DUMMYFUNCTION("""COMPUTED_VALUE"""),"85 years and over")</f>
        <v>85 years and over</v>
      </c>
    </row>
    <row r="210">
      <c r="A210" s="49" t="s">
        <v>89</v>
      </c>
      <c r="B210" s="49" t="s">
        <v>103</v>
      </c>
      <c r="G210" s="51" t="str">
        <f t="shared" si="1"/>
        <v>All races, both sexes, 85 years and over</v>
      </c>
      <c r="H210" s="51" t="str">
        <f t="shared" si="2"/>
        <v/>
      </c>
      <c r="I210" s="52"/>
      <c r="J210" s="5" t="str">
        <f>IFERROR(__xludf.DUMMYFUNCTION("IFERROR(SPLIT(H210, "", "", FALSE, TRUE), )"),"")</f>
        <v/>
      </c>
    </row>
    <row r="211">
      <c r="A211" s="3"/>
      <c r="B211" s="3" t="s">
        <v>3</v>
      </c>
      <c r="C211" s="3" t="s">
        <v>4</v>
      </c>
      <c r="D211" s="3" t="s">
        <v>5</v>
      </c>
      <c r="E211" s="3" t="s">
        <v>6</v>
      </c>
      <c r="F211" s="3" t="s">
        <v>7</v>
      </c>
      <c r="G211" s="51" t="str">
        <f t="shared" si="1"/>
        <v>All races, male, all ages</v>
      </c>
      <c r="H211" s="51" t="str">
        <f t="shared" si="2"/>
        <v/>
      </c>
      <c r="I211" s="52"/>
      <c r="J211" s="5" t="str">
        <f>IFERROR(__xludf.DUMMYFUNCTION("IFERROR(SPLIT(H211, "", "", FALSE, TRUE), )"),"")</f>
        <v/>
      </c>
    </row>
    <row r="212">
      <c r="A212" s="7"/>
      <c r="B212" s="7" t="s">
        <v>12</v>
      </c>
      <c r="C212" s="7" t="s">
        <v>13</v>
      </c>
      <c r="D212" s="53">
        <v>1306034.0</v>
      </c>
      <c r="E212" s="11">
        <v>100.0</v>
      </c>
      <c r="F212" s="11">
        <v>839.1</v>
      </c>
      <c r="G212" s="51" t="str">
        <f t="shared" si="1"/>
        <v>All races, male, all ages</v>
      </c>
      <c r="H212" s="51" t="str">
        <f t="shared" si="2"/>
        <v>All races, male, all ages</v>
      </c>
      <c r="I212" s="52"/>
      <c r="J212" s="5" t="str">
        <f>IFERROR(__xludf.DUMMYFUNCTION("IFERROR(SPLIT(H212, "", "", FALSE, TRUE), )"),"All races")</f>
        <v>All races</v>
      </c>
      <c r="K212" s="5" t="str">
        <f>IFERROR(__xludf.DUMMYFUNCTION("""COMPUTED_VALUE"""),"male")</f>
        <v>male</v>
      </c>
      <c r="L212" s="5" t="str">
        <f>IFERROR(__xludf.DUMMYFUNCTION("""COMPUTED_VALUE"""),"all ages")</f>
        <v>all ages</v>
      </c>
    </row>
    <row r="213">
      <c r="A213" s="11"/>
      <c r="B213" s="11">
        <v>1.0</v>
      </c>
      <c r="C213" s="7" t="s">
        <v>16</v>
      </c>
      <c r="D213" s="53">
        <v>321347.0</v>
      </c>
      <c r="E213" s="11">
        <v>24.6</v>
      </c>
      <c r="F213" s="11">
        <v>206.5</v>
      </c>
      <c r="G213" s="51" t="str">
        <f t="shared" si="1"/>
        <v>All races, male, all ages</v>
      </c>
      <c r="H213" s="51" t="str">
        <f t="shared" si="2"/>
        <v>All races, male, all ages</v>
      </c>
      <c r="I213" s="52"/>
      <c r="J213" s="5" t="str">
        <f>IFERROR(__xludf.DUMMYFUNCTION("IFERROR(SPLIT(H213, "", "", FALSE, TRUE), )"),"All races")</f>
        <v>All races</v>
      </c>
      <c r="K213" s="5" t="str">
        <f>IFERROR(__xludf.DUMMYFUNCTION("""COMPUTED_VALUE"""),"male")</f>
        <v>male</v>
      </c>
      <c r="L213" s="5" t="str">
        <f>IFERROR(__xludf.DUMMYFUNCTION("""COMPUTED_VALUE"""),"all ages")</f>
        <v>all ages</v>
      </c>
    </row>
    <row r="214">
      <c r="A214" s="11"/>
      <c r="B214" s="11">
        <v>2.0</v>
      </c>
      <c r="C214" s="7" t="s">
        <v>17</v>
      </c>
      <c r="D214" s="53">
        <v>307559.0</v>
      </c>
      <c r="E214" s="11">
        <v>23.5</v>
      </c>
      <c r="F214" s="11">
        <v>197.6</v>
      </c>
      <c r="G214" s="51" t="str">
        <f t="shared" si="1"/>
        <v>All races, male, all ages</v>
      </c>
      <c r="H214" s="51" t="str">
        <f t="shared" si="2"/>
        <v>All races, male, all ages</v>
      </c>
      <c r="I214" s="52"/>
      <c r="J214" s="5" t="str">
        <f>IFERROR(__xludf.DUMMYFUNCTION("IFERROR(SPLIT(H214, "", "", FALSE, TRUE), )"),"All races")</f>
        <v>All races</v>
      </c>
      <c r="K214" s="5" t="str">
        <f>IFERROR(__xludf.DUMMYFUNCTION("""COMPUTED_VALUE"""),"male")</f>
        <v>male</v>
      </c>
      <c r="L214" s="5" t="str">
        <f>IFERROR(__xludf.DUMMYFUNCTION("""COMPUTED_VALUE"""),"all ages")</f>
        <v>all ages</v>
      </c>
    </row>
    <row r="215">
      <c r="A215" s="11"/>
      <c r="B215" s="11">
        <v>3.0</v>
      </c>
      <c r="C215" s="7" t="s">
        <v>19</v>
      </c>
      <c r="D215" s="53">
        <v>81916.0</v>
      </c>
      <c r="E215" s="11">
        <v>6.3</v>
      </c>
      <c r="F215" s="11">
        <v>52.6</v>
      </c>
      <c r="G215" s="51" t="str">
        <f t="shared" si="1"/>
        <v>All races, male, all ages</v>
      </c>
      <c r="H215" s="51" t="str">
        <f t="shared" si="2"/>
        <v>All races, male, all ages</v>
      </c>
      <c r="I215" s="52"/>
      <c r="J215" s="5" t="str">
        <f>IFERROR(__xludf.DUMMYFUNCTION("IFERROR(SPLIT(H215, "", "", FALSE, TRUE), )"),"All races")</f>
        <v>All races</v>
      </c>
      <c r="K215" s="5" t="str">
        <f>IFERROR(__xludf.DUMMYFUNCTION("""COMPUTED_VALUE"""),"male")</f>
        <v>male</v>
      </c>
      <c r="L215" s="5" t="str">
        <f>IFERROR(__xludf.DUMMYFUNCTION("""COMPUTED_VALUE"""),"all ages")</f>
        <v>all ages</v>
      </c>
    </row>
    <row r="216">
      <c r="A216" s="11"/>
      <c r="B216" s="11">
        <v>4.0</v>
      </c>
      <c r="C216" s="7" t="s">
        <v>18</v>
      </c>
      <c r="D216" s="53">
        <v>70317.0</v>
      </c>
      <c r="E216" s="11">
        <v>5.4</v>
      </c>
      <c r="F216" s="11">
        <v>45.2</v>
      </c>
      <c r="G216" s="51" t="str">
        <f t="shared" si="1"/>
        <v>All races, male, all ages</v>
      </c>
      <c r="H216" s="51" t="str">
        <f t="shared" si="2"/>
        <v>All races, male, all ages</v>
      </c>
      <c r="I216" s="52"/>
      <c r="J216" s="5" t="str">
        <f>IFERROR(__xludf.DUMMYFUNCTION("IFERROR(SPLIT(H216, "", "", FALSE, TRUE), )"),"All races")</f>
        <v>All races</v>
      </c>
      <c r="K216" s="5" t="str">
        <f>IFERROR(__xludf.DUMMYFUNCTION("""COMPUTED_VALUE"""),"male")</f>
        <v>male</v>
      </c>
      <c r="L216" s="5" t="str">
        <f>IFERROR(__xludf.DUMMYFUNCTION("""COMPUTED_VALUE"""),"all ages")</f>
        <v>all ages</v>
      </c>
    </row>
    <row r="217">
      <c r="A217" s="11"/>
      <c r="B217" s="11">
        <v>5.0</v>
      </c>
      <c r="C217" s="7" t="s">
        <v>20</v>
      </c>
      <c r="D217" s="53">
        <v>53691.0</v>
      </c>
      <c r="E217" s="11">
        <v>4.1</v>
      </c>
      <c r="F217" s="11">
        <v>34.5</v>
      </c>
      <c r="G217" s="51" t="str">
        <f t="shared" si="1"/>
        <v>All races, male, all ages</v>
      </c>
      <c r="H217" s="51" t="str">
        <f t="shared" si="2"/>
        <v>All races, male, all ages</v>
      </c>
      <c r="I217" s="52"/>
      <c r="J217" s="5" t="str">
        <f>IFERROR(__xludf.DUMMYFUNCTION("IFERROR(SPLIT(H217, "", "", FALSE, TRUE), )"),"All races")</f>
        <v>All races</v>
      </c>
      <c r="K217" s="5" t="str">
        <f>IFERROR(__xludf.DUMMYFUNCTION("""COMPUTED_VALUE"""),"male")</f>
        <v>male</v>
      </c>
      <c r="L217" s="5" t="str">
        <f>IFERROR(__xludf.DUMMYFUNCTION("""COMPUTED_VALUE"""),"all ages")</f>
        <v>all ages</v>
      </c>
    </row>
    <row r="218">
      <c r="A218" s="11"/>
      <c r="B218" s="11">
        <v>6.0</v>
      </c>
      <c r="C218" s="7" t="s">
        <v>22</v>
      </c>
      <c r="D218" s="53">
        <v>39841.0</v>
      </c>
      <c r="E218" s="11">
        <v>3.1</v>
      </c>
      <c r="F218" s="11">
        <v>25.6</v>
      </c>
      <c r="G218" s="51" t="str">
        <f t="shared" si="1"/>
        <v>All races, male, all ages</v>
      </c>
      <c r="H218" s="51" t="str">
        <f t="shared" si="2"/>
        <v>All races, male, all ages</v>
      </c>
      <c r="I218" s="52"/>
      <c r="J218" s="5" t="str">
        <f>IFERROR(__xludf.DUMMYFUNCTION("IFERROR(SPLIT(H218, "", "", FALSE, TRUE), )"),"All races")</f>
        <v>All races</v>
      </c>
      <c r="K218" s="5" t="str">
        <f>IFERROR(__xludf.DUMMYFUNCTION("""COMPUTED_VALUE"""),"male")</f>
        <v>male</v>
      </c>
      <c r="L218" s="5" t="str">
        <f>IFERROR(__xludf.DUMMYFUNCTION("""COMPUTED_VALUE"""),"all ages")</f>
        <v>all ages</v>
      </c>
    </row>
    <row r="219">
      <c r="A219" s="11"/>
      <c r="B219" s="11">
        <v>7.0</v>
      </c>
      <c r="C219" s="7" t="s">
        <v>25</v>
      </c>
      <c r="D219" s="53">
        <v>32055.0</v>
      </c>
      <c r="E219" s="11">
        <v>2.5</v>
      </c>
      <c r="F219" s="11">
        <v>20.6</v>
      </c>
      <c r="G219" s="51" t="str">
        <f t="shared" si="1"/>
        <v>All races, male, all ages</v>
      </c>
      <c r="H219" s="51" t="str">
        <f t="shared" si="2"/>
        <v>All races, male, all ages</v>
      </c>
      <c r="I219" s="52"/>
      <c r="J219" s="5" t="str">
        <f>IFERROR(__xludf.DUMMYFUNCTION("IFERROR(SPLIT(H219, "", "", FALSE, TRUE), )"),"All races")</f>
        <v>All races</v>
      </c>
      <c r="K219" s="5" t="str">
        <f>IFERROR(__xludf.DUMMYFUNCTION("""COMPUTED_VALUE"""),"male")</f>
        <v>male</v>
      </c>
      <c r="L219" s="5" t="str">
        <f>IFERROR(__xludf.DUMMYFUNCTION("""COMPUTED_VALUE"""),"all ages")</f>
        <v>all ages</v>
      </c>
    </row>
    <row r="220">
      <c r="A220" s="11"/>
      <c r="B220" s="11">
        <v>8.0</v>
      </c>
      <c r="C220" s="7" t="s">
        <v>23</v>
      </c>
      <c r="D220" s="53">
        <v>26804.0</v>
      </c>
      <c r="E220" s="11">
        <v>2.1</v>
      </c>
      <c r="F220" s="11">
        <v>17.2</v>
      </c>
      <c r="G220" s="51" t="str">
        <f t="shared" si="1"/>
        <v>All races, male, all ages</v>
      </c>
      <c r="H220" s="51" t="str">
        <f t="shared" si="2"/>
        <v>All races, male, all ages</v>
      </c>
      <c r="I220" s="52"/>
      <c r="J220" s="5" t="str">
        <f>IFERROR(__xludf.DUMMYFUNCTION("IFERROR(SPLIT(H220, "", "", FALSE, TRUE), )"),"All races")</f>
        <v>All races</v>
      </c>
      <c r="K220" s="5" t="str">
        <f>IFERROR(__xludf.DUMMYFUNCTION("""COMPUTED_VALUE"""),"male")</f>
        <v>male</v>
      </c>
      <c r="L220" s="5" t="str">
        <f>IFERROR(__xludf.DUMMYFUNCTION("""COMPUTED_VALUE"""),"all ages")</f>
        <v>all ages</v>
      </c>
    </row>
    <row r="221">
      <c r="A221" s="11"/>
      <c r="B221" s="11">
        <v>9.0</v>
      </c>
      <c r="C221" s="7" t="s">
        <v>21</v>
      </c>
      <c r="D221" s="53">
        <v>25836.0</v>
      </c>
      <c r="E221" s="11">
        <v>2.0</v>
      </c>
      <c r="F221" s="11">
        <v>16.6</v>
      </c>
      <c r="G221" s="51" t="str">
        <f t="shared" si="1"/>
        <v>All races, male, all ages</v>
      </c>
      <c r="H221" s="51" t="str">
        <f t="shared" si="2"/>
        <v>All races, male, all ages</v>
      </c>
      <c r="I221" s="52"/>
      <c r="J221" s="5" t="str">
        <f>IFERROR(__xludf.DUMMYFUNCTION("IFERROR(SPLIT(H221, "", "", FALSE, TRUE), )"),"All races")</f>
        <v>All races</v>
      </c>
      <c r="K221" s="5" t="str">
        <f>IFERROR(__xludf.DUMMYFUNCTION("""COMPUTED_VALUE"""),"male")</f>
        <v>male</v>
      </c>
      <c r="L221" s="5" t="str">
        <f>IFERROR(__xludf.DUMMYFUNCTION("""COMPUTED_VALUE"""),"all ages")</f>
        <v>all ages</v>
      </c>
    </row>
    <row r="222">
      <c r="A222" s="11"/>
      <c r="B222" s="11">
        <v>10.0</v>
      </c>
      <c r="C222" s="7" t="s">
        <v>27</v>
      </c>
      <c r="D222" s="53">
        <v>23709.0</v>
      </c>
      <c r="E222" s="11">
        <v>1.8</v>
      </c>
      <c r="F222" s="11">
        <v>15.2</v>
      </c>
      <c r="G222" s="51" t="str">
        <f t="shared" si="1"/>
        <v>All races, male, all ages</v>
      </c>
      <c r="H222" s="51" t="str">
        <f t="shared" si="2"/>
        <v>All races, male, all ages</v>
      </c>
      <c r="I222" s="52"/>
      <c r="J222" s="5" t="str">
        <f>IFERROR(__xludf.DUMMYFUNCTION("IFERROR(SPLIT(H222, "", "", FALSE, TRUE), )"),"All races")</f>
        <v>All races</v>
      </c>
      <c r="K222" s="5" t="str">
        <f>IFERROR(__xludf.DUMMYFUNCTION("""COMPUTED_VALUE"""),"male")</f>
        <v>male</v>
      </c>
      <c r="L222" s="5" t="str">
        <f>IFERROR(__xludf.DUMMYFUNCTION("""COMPUTED_VALUE"""),"all ages")</f>
        <v>all ages</v>
      </c>
    </row>
    <row r="223">
      <c r="A223" s="11"/>
      <c r="B223" s="11">
        <v>11.0</v>
      </c>
      <c r="C223" s="7" t="s">
        <v>24</v>
      </c>
      <c r="D223" s="53">
        <v>23493.0</v>
      </c>
      <c r="E223" s="11">
        <v>1.8</v>
      </c>
      <c r="F223" s="11">
        <v>15.1</v>
      </c>
      <c r="G223" s="51" t="str">
        <f t="shared" si="1"/>
        <v>All races, male, all ages</v>
      </c>
      <c r="H223" s="51" t="str">
        <f t="shared" si="2"/>
        <v>All races, male, all ages</v>
      </c>
      <c r="I223" s="52"/>
      <c r="J223" s="5" t="str">
        <f>IFERROR(__xludf.DUMMYFUNCTION("IFERROR(SPLIT(H223, "", "", FALSE, TRUE), )"),"All races")</f>
        <v>All races</v>
      </c>
      <c r="K223" s="5" t="str">
        <f>IFERROR(__xludf.DUMMYFUNCTION("""COMPUTED_VALUE"""),"male")</f>
        <v>male</v>
      </c>
      <c r="L223" s="5" t="str">
        <f>IFERROR(__xludf.DUMMYFUNCTION("""COMPUTED_VALUE"""),"all ages")</f>
        <v>all ages</v>
      </c>
    </row>
    <row r="224">
      <c r="A224" s="11"/>
      <c r="B224" s="11">
        <v>12.0</v>
      </c>
      <c r="C224" s="7" t="s">
        <v>26</v>
      </c>
      <c r="D224" s="53">
        <v>17994.0</v>
      </c>
      <c r="E224" s="11">
        <v>1.4</v>
      </c>
      <c r="F224" s="11">
        <v>11.6</v>
      </c>
      <c r="G224" s="51" t="str">
        <f t="shared" si="1"/>
        <v>All races, male, all ages</v>
      </c>
      <c r="H224" s="51" t="str">
        <f t="shared" si="2"/>
        <v>All races, male, all ages</v>
      </c>
      <c r="I224" s="52"/>
      <c r="J224" s="5" t="str">
        <f>IFERROR(__xludf.DUMMYFUNCTION("IFERROR(SPLIT(H224, "", "", FALSE, TRUE), )"),"All races")</f>
        <v>All races</v>
      </c>
      <c r="K224" s="5" t="str">
        <f>IFERROR(__xludf.DUMMYFUNCTION("""COMPUTED_VALUE"""),"male")</f>
        <v>male</v>
      </c>
      <c r="L224" s="5" t="str">
        <f>IFERROR(__xludf.DUMMYFUNCTION("""COMPUTED_VALUE"""),"all ages")</f>
        <v>all ages</v>
      </c>
    </row>
    <row r="225">
      <c r="A225" s="11"/>
      <c r="B225" s="11">
        <v>13.0</v>
      </c>
      <c r="C225" s="7" t="s">
        <v>29</v>
      </c>
      <c r="D225" s="53">
        <v>15088.0</v>
      </c>
      <c r="E225" s="11">
        <v>1.2</v>
      </c>
      <c r="F225" s="11">
        <v>9.7</v>
      </c>
      <c r="G225" s="51" t="str">
        <f t="shared" si="1"/>
        <v>All races, male, all ages</v>
      </c>
      <c r="H225" s="51" t="str">
        <f t="shared" si="2"/>
        <v>All races, male, all ages</v>
      </c>
      <c r="I225" s="52"/>
      <c r="J225" s="5" t="str">
        <f>IFERROR(__xludf.DUMMYFUNCTION("IFERROR(SPLIT(H225, "", "", FALSE, TRUE), )"),"All races")</f>
        <v>All races</v>
      </c>
      <c r="K225" s="5" t="str">
        <f>IFERROR(__xludf.DUMMYFUNCTION("""COMPUTED_VALUE"""),"male")</f>
        <v>male</v>
      </c>
      <c r="L225" s="5" t="str">
        <f>IFERROR(__xludf.DUMMYFUNCTION("""COMPUTED_VALUE"""),"all ages")</f>
        <v>all ages</v>
      </c>
    </row>
    <row r="226">
      <c r="A226" s="11"/>
      <c r="B226" s="11">
        <v>14.0</v>
      </c>
      <c r="C226" s="7" t="s">
        <v>28</v>
      </c>
      <c r="D226" s="53">
        <v>12963.0</v>
      </c>
      <c r="E226" s="11">
        <v>1.0</v>
      </c>
      <c r="F226" s="11">
        <v>8.3</v>
      </c>
      <c r="G226" s="51" t="str">
        <f t="shared" si="1"/>
        <v>All races, male, all ages</v>
      </c>
      <c r="H226" s="51" t="str">
        <f t="shared" si="2"/>
        <v>All races, male, all ages</v>
      </c>
      <c r="I226" s="52"/>
      <c r="J226" s="5" t="str">
        <f>IFERROR(__xludf.DUMMYFUNCTION("IFERROR(SPLIT(H226, "", "", FALSE, TRUE), )"),"All races")</f>
        <v>All races</v>
      </c>
      <c r="K226" s="5" t="str">
        <f>IFERROR(__xludf.DUMMYFUNCTION("""COMPUTED_VALUE"""),"male")</f>
        <v>male</v>
      </c>
      <c r="L226" s="5" t="str">
        <f>IFERROR(__xludf.DUMMYFUNCTION("""COMPUTED_VALUE"""),"all ages")</f>
        <v>all ages</v>
      </c>
    </row>
    <row r="227">
      <c r="A227" s="11"/>
      <c r="B227" s="11">
        <v>15.0</v>
      </c>
      <c r="C227" s="7" t="s">
        <v>34</v>
      </c>
      <c r="D227" s="53">
        <v>12726.0</v>
      </c>
      <c r="E227" s="11">
        <v>1.0</v>
      </c>
      <c r="F227" s="11">
        <v>8.2</v>
      </c>
      <c r="G227" s="51" t="str">
        <f t="shared" si="1"/>
        <v>All races, male, all ages</v>
      </c>
      <c r="H227" s="51" t="str">
        <f t="shared" si="2"/>
        <v>All races, male, all ages</v>
      </c>
      <c r="I227" s="52"/>
      <c r="J227" s="5" t="str">
        <f>IFERROR(__xludf.DUMMYFUNCTION("IFERROR(SPLIT(H227, "", "", FALSE, TRUE), )"),"All races")</f>
        <v>All races</v>
      </c>
      <c r="K227" s="5" t="str">
        <f>IFERROR(__xludf.DUMMYFUNCTION("""COMPUTED_VALUE"""),"male")</f>
        <v>male</v>
      </c>
      <c r="L227" s="5" t="str">
        <f>IFERROR(__xludf.DUMMYFUNCTION("""COMPUTED_VALUE"""),"all ages")</f>
        <v>all ages</v>
      </c>
    </row>
    <row r="228">
      <c r="A228" s="7"/>
      <c r="B228" s="7" t="s">
        <v>12</v>
      </c>
      <c r="C228" s="7" t="s">
        <v>31</v>
      </c>
      <c r="D228" s="53">
        <v>240695.0</v>
      </c>
      <c r="E228" s="11">
        <v>18.4</v>
      </c>
      <c r="F228" s="11">
        <v>154.6</v>
      </c>
      <c r="G228" s="51" t="str">
        <f t="shared" si="1"/>
        <v>All races, male, all ages</v>
      </c>
      <c r="H228" s="51" t="str">
        <f t="shared" si="2"/>
        <v>All races, male, all ages</v>
      </c>
      <c r="I228" s="52"/>
      <c r="J228" s="5" t="str">
        <f>IFERROR(__xludf.DUMMYFUNCTION("IFERROR(SPLIT(H228, "", "", FALSE, TRUE), )"),"All races")</f>
        <v>All races</v>
      </c>
      <c r="K228" s="5" t="str">
        <f>IFERROR(__xludf.DUMMYFUNCTION("""COMPUTED_VALUE"""),"male")</f>
        <v>male</v>
      </c>
      <c r="L228" s="5" t="str">
        <f>IFERROR(__xludf.DUMMYFUNCTION("""COMPUTED_VALUE"""),"all ages")</f>
        <v>all ages</v>
      </c>
    </row>
    <row r="229">
      <c r="A229" s="55" t="s">
        <v>89</v>
      </c>
      <c r="B229" s="49" t="s">
        <v>104</v>
      </c>
      <c r="G229" s="51" t="str">
        <f t="shared" si="1"/>
        <v>All races, male, all ages</v>
      </c>
      <c r="H229" s="51" t="str">
        <f t="shared" si="2"/>
        <v/>
      </c>
      <c r="I229" s="52"/>
      <c r="J229" s="5" t="str">
        <f>IFERROR(__xludf.DUMMYFUNCTION("IFERROR(SPLIT(H229, "", "", FALSE, TRUE), )"),"")</f>
        <v/>
      </c>
    </row>
    <row r="230">
      <c r="A230" s="56"/>
      <c r="B230" s="3" t="s">
        <v>3</v>
      </c>
      <c r="C230" s="3" t="s">
        <v>4</v>
      </c>
      <c r="D230" s="3" t="s">
        <v>5</v>
      </c>
      <c r="E230" s="3" t="s">
        <v>6</v>
      </c>
      <c r="F230" s="3" t="s">
        <v>7</v>
      </c>
      <c r="G230" s="51" t="str">
        <f t="shared" si="1"/>
        <v>All races, male, 1-4 years</v>
      </c>
      <c r="H230" s="51" t="str">
        <f t="shared" si="2"/>
        <v/>
      </c>
      <c r="I230" s="52"/>
      <c r="J230" s="5" t="str">
        <f>IFERROR(__xludf.DUMMYFUNCTION("IFERROR(SPLIT(H230, "", "", FALSE, TRUE), )"),"")</f>
        <v/>
      </c>
    </row>
    <row r="231">
      <c r="A231" s="57"/>
      <c r="B231" s="7" t="s">
        <v>12</v>
      </c>
      <c r="C231" s="7" t="s">
        <v>13</v>
      </c>
      <c r="D231" s="53">
        <v>2323.0</v>
      </c>
      <c r="E231" s="11">
        <v>100.0</v>
      </c>
      <c r="F231" s="11">
        <v>28.6</v>
      </c>
      <c r="G231" s="51" t="str">
        <f t="shared" si="1"/>
        <v>All races, male, 1-4 years</v>
      </c>
      <c r="H231" s="51" t="str">
        <f t="shared" si="2"/>
        <v>All races, male, 1-4 years</v>
      </c>
      <c r="I231" s="52"/>
      <c r="J231" s="5" t="str">
        <f>IFERROR(__xludf.DUMMYFUNCTION("IFERROR(SPLIT(H231, "", "", FALSE, TRUE), )"),"All races")</f>
        <v>All races</v>
      </c>
      <c r="K231" s="5" t="str">
        <f>IFERROR(__xludf.DUMMYFUNCTION("""COMPUTED_VALUE"""),"male")</f>
        <v>male</v>
      </c>
      <c r="L231" s="5" t="str">
        <f>IFERROR(__xludf.DUMMYFUNCTION("""COMPUTED_VALUE"""),"1-4 years")</f>
        <v>1-4 years</v>
      </c>
    </row>
    <row r="232">
      <c r="A232" s="57"/>
      <c r="B232" s="11">
        <v>1.0</v>
      </c>
      <c r="C232" s="7" t="s">
        <v>19</v>
      </c>
      <c r="D232" s="11">
        <v>831.0</v>
      </c>
      <c r="E232" s="11">
        <v>35.8</v>
      </c>
      <c r="F232" s="11">
        <v>10.2</v>
      </c>
      <c r="G232" s="51" t="str">
        <f t="shared" si="1"/>
        <v>All races, male, 1-4 years</v>
      </c>
      <c r="H232" s="51" t="str">
        <f t="shared" si="2"/>
        <v>All races, male, 1-4 years</v>
      </c>
      <c r="I232" s="52"/>
      <c r="J232" s="5" t="str">
        <f>IFERROR(__xludf.DUMMYFUNCTION("IFERROR(SPLIT(H232, "", "", FALSE, TRUE), )"),"All races")</f>
        <v>All races</v>
      </c>
      <c r="K232" s="5" t="str">
        <f>IFERROR(__xludf.DUMMYFUNCTION("""COMPUTED_VALUE"""),"male")</f>
        <v>male</v>
      </c>
      <c r="L232" s="5" t="str">
        <f>IFERROR(__xludf.DUMMYFUNCTION("""COMPUTED_VALUE"""),"1-4 years")</f>
        <v>1-4 years</v>
      </c>
    </row>
    <row r="233">
      <c r="A233" s="57"/>
      <c r="B233" s="11">
        <v>2.0</v>
      </c>
      <c r="C233" s="7" t="s">
        <v>33</v>
      </c>
      <c r="D233" s="11">
        <v>232.0</v>
      </c>
      <c r="E233" s="11">
        <v>10.0</v>
      </c>
      <c r="F233" s="11">
        <v>2.9</v>
      </c>
      <c r="G233" s="51" t="str">
        <f t="shared" si="1"/>
        <v>All races, male, 1-4 years</v>
      </c>
      <c r="H233" s="51" t="str">
        <f t="shared" si="2"/>
        <v>All races, male, 1-4 years</v>
      </c>
      <c r="I233" s="52"/>
      <c r="J233" s="5" t="str">
        <f>IFERROR(__xludf.DUMMYFUNCTION("IFERROR(SPLIT(H233, "", "", FALSE, TRUE), )"),"All races")</f>
        <v>All races</v>
      </c>
      <c r="K233" s="5" t="str">
        <f>IFERROR(__xludf.DUMMYFUNCTION("""COMPUTED_VALUE"""),"male")</f>
        <v>male</v>
      </c>
      <c r="L233" s="5" t="str">
        <f>IFERROR(__xludf.DUMMYFUNCTION("""COMPUTED_VALUE"""),"1-4 years")</f>
        <v>1-4 years</v>
      </c>
    </row>
    <row r="234">
      <c r="A234" s="57"/>
      <c r="B234" s="11">
        <v>3.0</v>
      </c>
      <c r="C234" s="7" t="s">
        <v>34</v>
      </c>
      <c r="D234" s="11">
        <v>184.0</v>
      </c>
      <c r="E234" s="11">
        <v>7.9</v>
      </c>
      <c r="F234" s="11">
        <v>2.3</v>
      </c>
      <c r="G234" s="51" t="str">
        <f t="shared" si="1"/>
        <v>All races, male, 1-4 years</v>
      </c>
      <c r="H234" s="51" t="str">
        <f t="shared" si="2"/>
        <v>All races, male, 1-4 years</v>
      </c>
      <c r="I234" s="52"/>
      <c r="J234" s="5" t="str">
        <f>IFERROR(__xludf.DUMMYFUNCTION("IFERROR(SPLIT(H234, "", "", FALSE, TRUE), )"),"All races")</f>
        <v>All races</v>
      </c>
      <c r="K234" s="5" t="str">
        <f>IFERROR(__xludf.DUMMYFUNCTION("""COMPUTED_VALUE"""),"male")</f>
        <v>male</v>
      </c>
      <c r="L234" s="5" t="str">
        <f>IFERROR(__xludf.DUMMYFUNCTION("""COMPUTED_VALUE"""),"1-4 years")</f>
        <v>1-4 years</v>
      </c>
    </row>
    <row r="235">
      <c r="A235" s="57"/>
      <c r="B235" s="11">
        <v>4.0</v>
      </c>
      <c r="C235" s="7" t="s">
        <v>17</v>
      </c>
      <c r="D235" s="11">
        <v>183.0</v>
      </c>
      <c r="E235" s="11">
        <v>7.9</v>
      </c>
      <c r="F235" s="11">
        <v>2.2</v>
      </c>
      <c r="G235" s="51" t="str">
        <f t="shared" si="1"/>
        <v>All races, male, 1-4 years</v>
      </c>
      <c r="H235" s="51" t="str">
        <f t="shared" si="2"/>
        <v>All races, male, 1-4 years</v>
      </c>
      <c r="I235" s="52"/>
      <c r="J235" s="5" t="str">
        <f>IFERROR(__xludf.DUMMYFUNCTION("IFERROR(SPLIT(H235, "", "", FALSE, TRUE), )"),"All races")</f>
        <v>All races</v>
      </c>
      <c r="K235" s="5" t="str">
        <f>IFERROR(__xludf.DUMMYFUNCTION("""COMPUTED_VALUE"""),"male")</f>
        <v>male</v>
      </c>
      <c r="L235" s="5" t="str">
        <f>IFERROR(__xludf.DUMMYFUNCTION("""COMPUTED_VALUE"""),"1-4 years")</f>
        <v>1-4 years</v>
      </c>
    </row>
    <row r="236">
      <c r="A236" s="57"/>
      <c r="B236" s="11">
        <v>5.0</v>
      </c>
      <c r="C236" s="7" t="s">
        <v>16</v>
      </c>
      <c r="D236" s="11">
        <v>96.0</v>
      </c>
      <c r="E236" s="11">
        <v>4.1</v>
      </c>
      <c r="F236" s="11">
        <v>1.2</v>
      </c>
      <c r="G236" s="51" t="str">
        <f t="shared" si="1"/>
        <v>All races, male, 1-4 years</v>
      </c>
      <c r="H236" s="51" t="str">
        <f t="shared" si="2"/>
        <v>All races, male, 1-4 years</v>
      </c>
      <c r="I236" s="52"/>
      <c r="J236" s="5" t="str">
        <f>IFERROR(__xludf.DUMMYFUNCTION("IFERROR(SPLIT(H236, "", "", FALSE, TRUE), )"),"All races")</f>
        <v>All races</v>
      </c>
      <c r="K236" s="5" t="str">
        <f>IFERROR(__xludf.DUMMYFUNCTION("""COMPUTED_VALUE"""),"male")</f>
        <v>male</v>
      </c>
      <c r="L236" s="5" t="str">
        <f>IFERROR(__xludf.DUMMYFUNCTION("""COMPUTED_VALUE"""),"1-4 years")</f>
        <v>1-4 years</v>
      </c>
    </row>
    <row r="237">
      <c r="A237" s="57"/>
      <c r="B237" s="11">
        <v>6.0</v>
      </c>
      <c r="C237" s="7" t="s">
        <v>23</v>
      </c>
      <c r="D237" s="11">
        <v>53.0</v>
      </c>
      <c r="E237" s="11">
        <v>2.3</v>
      </c>
      <c r="F237" s="11">
        <v>0.7</v>
      </c>
      <c r="G237" s="51" t="str">
        <f t="shared" si="1"/>
        <v>All races, male, 1-4 years</v>
      </c>
      <c r="H237" s="51" t="str">
        <f t="shared" si="2"/>
        <v>All races, male, 1-4 years</v>
      </c>
      <c r="I237" s="52"/>
      <c r="J237" s="5" t="str">
        <f>IFERROR(__xludf.DUMMYFUNCTION("IFERROR(SPLIT(H237, "", "", FALSE, TRUE), )"),"All races")</f>
        <v>All races</v>
      </c>
      <c r="K237" s="5" t="str">
        <f>IFERROR(__xludf.DUMMYFUNCTION("""COMPUTED_VALUE"""),"male")</f>
        <v>male</v>
      </c>
      <c r="L237" s="5" t="str">
        <f>IFERROR(__xludf.DUMMYFUNCTION("""COMPUTED_VALUE"""),"1-4 years")</f>
        <v>1-4 years</v>
      </c>
    </row>
    <row r="238">
      <c r="A238" s="57"/>
      <c r="B238" s="11">
        <v>7.0</v>
      </c>
      <c r="C238" s="7" t="s">
        <v>18</v>
      </c>
      <c r="D238" s="11">
        <v>38.0</v>
      </c>
      <c r="E238" s="11">
        <v>1.6</v>
      </c>
      <c r="F238" s="11">
        <v>0.5</v>
      </c>
      <c r="G238" s="51" t="str">
        <f t="shared" si="1"/>
        <v>All races, male, 1-4 years</v>
      </c>
      <c r="H238" s="51" t="str">
        <f t="shared" si="2"/>
        <v>All races, male, 1-4 years</v>
      </c>
      <c r="I238" s="52"/>
      <c r="J238" s="5" t="str">
        <f>IFERROR(__xludf.DUMMYFUNCTION("IFERROR(SPLIT(H238, "", "", FALSE, TRUE), )"),"All races")</f>
        <v>All races</v>
      </c>
      <c r="K238" s="5" t="str">
        <f>IFERROR(__xludf.DUMMYFUNCTION("""COMPUTED_VALUE"""),"male")</f>
        <v>male</v>
      </c>
      <c r="L238" s="5" t="str">
        <f>IFERROR(__xludf.DUMMYFUNCTION("""COMPUTED_VALUE"""),"1-4 years")</f>
        <v>1-4 years</v>
      </c>
    </row>
    <row r="239">
      <c r="A239" s="57"/>
      <c r="B239" s="11">
        <v>8.0</v>
      </c>
      <c r="C239" s="7" t="s">
        <v>26</v>
      </c>
      <c r="D239" s="11">
        <v>32.0</v>
      </c>
      <c r="E239" s="11">
        <v>1.4</v>
      </c>
      <c r="F239" s="11">
        <v>0.4</v>
      </c>
      <c r="G239" s="51" t="str">
        <f t="shared" si="1"/>
        <v>All races, male, 1-4 years</v>
      </c>
      <c r="H239" s="51" t="str">
        <f t="shared" si="2"/>
        <v>All races, male, 1-4 years</v>
      </c>
      <c r="I239" s="52"/>
      <c r="J239" s="5" t="str">
        <f>IFERROR(__xludf.DUMMYFUNCTION("IFERROR(SPLIT(H239, "", "", FALSE, TRUE), )"),"All races")</f>
        <v>All races</v>
      </c>
      <c r="K239" s="5" t="str">
        <f>IFERROR(__xludf.DUMMYFUNCTION("""COMPUTED_VALUE"""),"male")</f>
        <v>male</v>
      </c>
      <c r="L239" s="5" t="str">
        <f>IFERROR(__xludf.DUMMYFUNCTION("""COMPUTED_VALUE"""),"1-4 years")</f>
        <v>1-4 years</v>
      </c>
    </row>
    <row r="240">
      <c r="A240" s="57"/>
      <c r="B240" s="11">
        <v>9.0</v>
      </c>
      <c r="C240" s="7" t="s">
        <v>36</v>
      </c>
      <c r="D240" s="11">
        <v>29.0</v>
      </c>
      <c r="E240" s="11">
        <v>1.2</v>
      </c>
      <c r="F240" s="11">
        <v>0.4</v>
      </c>
      <c r="G240" s="51" t="str">
        <f t="shared" si="1"/>
        <v>All races, male, 1-4 years</v>
      </c>
      <c r="H240" s="51" t="str">
        <f t="shared" si="2"/>
        <v>All races, male, 1-4 years</v>
      </c>
      <c r="I240" s="52"/>
      <c r="J240" s="5" t="str">
        <f>IFERROR(__xludf.DUMMYFUNCTION("IFERROR(SPLIT(H240, "", "", FALSE, TRUE), )"),"All races")</f>
        <v>All races</v>
      </c>
      <c r="K240" s="5" t="str">
        <f>IFERROR(__xludf.DUMMYFUNCTION("""COMPUTED_VALUE"""),"male")</f>
        <v>male</v>
      </c>
      <c r="L240" s="5" t="str">
        <f>IFERROR(__xludf.DUMMYFUNCTION("""COMPUTED_VALUE"""),"1-4 years")</f>
        <v>1-4 years</v>
      </c>
    </row>
    <row r="241">
      <c r="A241" s="57"/>
      <c r="B241" s="11">
        <v>10.0</v>
      </c>
      <c r="C241" s="7" t="s">
        <v>20</v>
      </c>
      <c r="D241" s="11">
        <v>22.0</v>
      </c>
      <c r="E241" s="11">
        <v>0.9</v>
      </c>
      <c r="F241" s="11">
        <v>0.3</v>
      </c>
      <c r="G241" s="51" t="str">
        <f t="shared" si="1"/>
        <v>All races, male, 1-4 years</v>
      </c>
      <c r="H241" s="51" t="str">
        <f t="shared" si="2"/>
        <v>All races, male, 1-4 years</v>
      </c>
      <c r="I241" s="52"/>
      <c r="J241" s="5" t="str">
        <f>IFERROR(__xludf.DUMMYFUNCTION("IFERROR(SPLIT(H241, "", "", FALSE, TRUE), )"),"All races")</f>
        <v>All races</v>
      </c>
      <c r="K241" s="5" t="str">
        <f>IFERROR(__xludf.DUMMYFUNCTION("""COMPUTED_VALUE"""),"male")</f>
        <v>male</v>
      </c>
      <c r="L241" s="5" t="str">
        <f>IFERROR(__xludf.DUMMYFUNCTION("""COMPUTED_VALUE"""),"1-4 years")</f>
        <v>1-4 years</v>
      </c>
    </row>
    <row r="242">
      <c r="A242" s="57"/>
      <c r="B242" s="11">
        <v>11.0</v>
      </c>
      <c r="C242" s="7" t="s">
        <v>35</v>
      </c>
      <c r="D242" s="11">
        <v>19.0</v>
      </c>
      <c r="E242" s="11">
        <v>0.8</v>
      </c>
      <c r="F242" s="7" t="s">
        <v>93</v>
      </c>
      <c r="G242" s="51" t="str">
        <f t="shared" si="1"/>
        <v>All races, male, 1-4 years</v>
      </c>
      <c r="H242" s="51" t="str">
        <f t="shared" si="2"/>
        <v>All races, male, 1-4 years</v>
      </c>
      <c r="I242" s="52"/>
      <c r="J242" s="5" t="str">
        <f>IFERROR(__xludf.DUMMYFUNCTION("IFERROR(SPLIT(H242, "", "", FALSE, TRUE), )"),"All races")</f>
        <v>All races</v>
      </c>
      <c r="K242" s="5" t="str">
        <f>IFERROR(__xludf.DUMMYFUNCTION("""COMPUTED_VALUE"""),"male")</f>
        <v>male</v>
      </c>
      <c r="L242" s="5" t="str">
        <f>IFERROR(__xludf.DUMMYFUNCTION("""COMPUTED_VALUE"""),"1-4 years")</f>
        <v>1-4 years</v>
      </c>
    </row>
    <row r="243">
      <c r="A243" s="57"/>
      <c r="B243" s="11">
        <v>12.0</v>
      </c>
      <c r="C243" s="7" t="s">
        <v>37</v>
      </c>
      <c r="D243" s="11">
        <v>13.0</v>
      </c>
      <c r="E243" s="11">
        <v>0.6</v>
      </c>
      <c r="F243" s="7" t="s">
        <v>93</v>
      </c>
      <c r="G243" s="51" t="str">
        <f t="shared" si="1"/>
        <v>All races, male, 1-4 years</v>
      </c>
      <c r="H243" s="51" t="str">
        <f t="shared" si="2"/>
        <v>All races, male, 1-4 years</v>
      </c>
      <c r="I243" s="52"/>
      <c r="J243" s="5" t="str">
        <f>IFERROR(__xludf.DUMMYFUNCTION("IFERROR(SPLIT(H243, "", "", FALSE, TRUE), )"),"All races")</f>
        <v>All races</v>
      </c>
      <c r="K243" s="5" t="str">
        <f>IFERROR(__xludf.DUMMYFUNCTION("""COMPUTED_VALUE"""),"male")</f>
        <v>male</v>
      </c>
      <c r="L243" s="5" t="str">
        <f>IFERROR(__xludf.DUMMYFUNCTION("""COMPUTED_VALUE"""),"1-4 years")</f>
        <v>1-4 years</v>
      </c>
    </row>
    <row r="244">
      <c r="A244" s="57"/>
      <c r="B244" s="11">
        <v>13.0</v>
      </c>
      <c r="C244" s="7" t="s">
        <v>38</v>
      </c>
      <c r="D244" s="11">
        <v>11.0</v>
      </c>
      <c r="E244" s="11">
        <v>0.5</v>
      </c>
      <c r="F244" s="7" t="s">
        <v>93</v>
      </c>
      <c r="G244" s="51" t="str">
        <f t="shared" si="1"/>
        <v>All races, male, 1-4 years</v>
      </c>
      <c r="H244" s="51" t="str">
        <f t="shared" si="2"/>
        <v>All races, male, 1-4 years</v>
      </c>
      <c r="I244" s="52"/>
      <c r="J244" s="5" t="str">
        <f>IFERROR(__xludf.DUMMYFUNCTION("IFERROR(SPLIT(H244, "", "", FALSE, TRUE), )"),"All races")</f>
        <v>All races</v>
      </c>
      <c r="K244" s="5" t="str">
        <f>IFERROR(__xludf.DUMMYFUNCTION("""COMPUTED_VALUE"""),"male")</f>
        <v>male</v>
      </c>
      <c r="L244" s="5" t="str">
        <f>IFERROR(__xludf.DUMMYFUNCTION("""COMPUTED_VALUE"""),"1-4 years")</f>
        <v>1-4 years</v>
      </c>
    </row>
    <row r="245">
      <c r="A245" s="57"/>
      <c r="B245" s="11">
        <v>14.0</v>
      </c>
      <c r="C245" s="7" t="s">
        <v>40</v>
      </c>
      <c r="D245" s="11">
        <v>7.0</v>
      </c>
      <c r="E245" s="11">
        <v>0.3</v>
      </c>
      <c r="F245" s="7" t="s">
        <v>93</v>
      </c>
      <c r="G245" s="51" t="str">
        <f t="shared" si="1"/>
        <v>All races, male, 1-4 years</v>
      </c>
      <c r="H245" s="51" t="str">
        <f t="shared" si="2"/>
        <v>All races, male, 1-4 years</v>
      </c>
      <c r="I245" s="52"/>
      <c r="J245" s="5" t="str">
        <f>IFERROR(__xludf.DUMMYFUNCTION("IFERROR(SPLIT(H245, "", "", FALSE, TRUE), )"),"All races")</f>
        <v>All races</v>
      </c>
      <c r="K245" s="5" t="str">
        <f>IFERROR(__xludf.DUMMYFUNCTION("""COMPUTED_VALUE"""),"male")</f>
        <v>male</v>
      </c>
      <c r="L245" s="5" t="str">
        <f>IFERROR(__xludf.DUMMYFUNCTION("""COMPUTED_VALUE"""),"1-4 years")</f>
        <v>1-4 years</v>
      </c>
    </row>
    <row r="246">
      <c r="A246" s="57"/>
      <c r="B246" s="11">
        <v>14.0</v>
      </c>
      <c r="C246" s="7" t="s">
        <v>39</v>
      </c>
      <c r="D246" s="11">
        <v>7.0</v>
      </c>
      <c r="E246" s="11">
        <v>0.3</v>
      </c>
      <c r="F246" s="7" t="s">
        <v>93</v>
      </c>
      <c r="G246" s="51" t="str">
        <f t="shared" si="1"/>
        <v>All races, male, 1-4 years</v>
      </c>
      <c r="H246" s="51" t="str">
        <f t="shared" si="2"/>
        <v>All races, male, 1-4 years</v>
      </c>
      <c r="I246" s="52"/>
      <c r="J246" s="5" t="str">
        <f>IFERROR(__xludf.DUMMYFUNCTION("IFERROR(SPLIT(H246, "", "", FALSE, TRUE), )"),"All races")</f>
        <v>All races</v>
      </c>
      <c r="K246" s="5" t="str">
        <f>IFERROR(__xludf.DUMMYFUNCTION("""COMPUTED_VALUE"""),"male")</f>
        <v>male</v>
      </c>
      <c r="L246" s="5" t="str">
        <f>IFERROR(__xludf.DUMMYFUNCTION("""COMPUTED_VALUE"""),"1-4 years")</f>
        <v>1-4 years</v>
      </c>
    </row>
    <row r="247">
      <c r="A247" s="57"/>
      <c r="B247" s="7" t="s">
        <v>12</v>
      </c>
      <c r="C247" s="7" t="s">
        <v>31</v>
      </c>
      <c r="D247" s="11">
        <v>566.0</v>
      </c>
      <c r="E247" s="11">
        <v>24.4</v>
      </c>
      <c r="F247" s="11">
        <v>7.0</v>
      </c>
      <c r="G247" s="51" t="str">
        <f t="shared" si="1"/>
        <v>All races, male, 1-4 years</v>
      </c>
      <c r="H247" s="51" t="str">
        <f t="shared" si="2"/>
        <v>All races, male, 1-4 years</v>
      </c>
      <c r="I247" s="52"/>
      <c r="J247" s="5" t="str">
        <f>IFERROR(__xludf.DUMMYFUNCTION("IFERROR(SPLIT(H247, "", "", FALSE, TRUE), )"),"All races")</f>
        <v>All races</v>
      </c>
      <c r="K247" s="5" t="str">
        <f>IFERROR(__xludf.DUMMYFUNCTION("""COMPUTED_VALUE"""),"male")</f>
        <v>male</v>
      </c>
      <c r="L247" s="5" t="str">
        <f>IFERROR(__xludf.DUMMYFUNCTION("""COMPUTED_VALUE"""),"1-4 years")</f>
        <v>1-4 years</v>
      </c>
    </row>
    <row r="248">
      <c r="A248" s="55" t="s">
        <v>89</v>
      </c>
      <c r="B248" s="49" t="s">
        <v>105</v>
      </c>
      <c r="G248" s="51" t="str">
        <f t="shared" si="1"/>
        <v>All races, male, 1-4 years</v>
      </c>
      <c r="H248" s="51" t="str">
        <f t="shared" si="2"/>
        <v/>
      </c>
      <c r="I248" s="52"/>
      <c r="J248" s="5" t="str">
        <f>IFERROR(__xludf.DUMMYFUNCTION("IFERROR(SPLIT(H248, "", "", FALSE, TRUE), )"),"")</f>
        <v/>
      </c>
    </row>
    <row r="249">
      <c r="A249" s="56"/>
      <c r="B249" s="3" t="s">
        <v>3</v>
      </c>
      <c r="C249" s="3" t="s">
        <v>4</v>
      </c>
      <c r="D249" s="3" t="s">
        <v>5</v>
      </c>
      <c r="E249" s="3" t="s">
        <v>6</v>
      </c>
      <c r="F249" s="3" t="s">
        <v>7</v>
      </c>
      <c r="G249" s="51" t="str">
        <f t="shared" si="1"/>
        <v>All races, male, 5-14 years</v>
      </c>
      <c r="H249" s="51" t="str">
        <f t="shared" si="2"/>
        <v/>
      </c>
      <c r="I249" s="52"/>
      <c r="J249" s="5" t="str">
        <f>IFERROR(__xludf.DUMMYFUNCTION("IFERROR(SPLIT(H249, "", "", FALSE, TRUE), )"),"")</f>
        <v/>
      </c>
    </row>
    <row r="250">
      <c r="A250" s="57"/>
      <c r="B250" s="7" t="s">
        <v>12</v>
      </c>
      <c r="C250" s="7" t="s">
        <v>13</v>
      </c>
      <c r="D250" s="53">
        <v>3077.0</v>
      </c>
      <c r="E250" s="11">
        <v>100.0</v>
      </c>
      <c r="F250" s="11">
        <v>14.6</v>
      </c>
      <c r="G250" s="51" t="str">
        <f t="shared" si="1"/>
        <v>All races, male, 5-14 years</v>
      </c>
      <c r="H250" s="51" t="str">
        <f t="shared" si="2"/>
        <v>All races, male, 5-14 years</v>
      </c>
      <c r="I250" s="52"/>
      <c r="J250" s="5" t="str">
        <f>IFERROR(__xludf.DUMMYFUNCTION("IFERROR(SPLIT(H250, "", "", FALSE, TRUE), )"),"All races")</f>
        <v>All races</v>
      </c>
      <c r="K250" s="5" t="str">
        <f>IFERROR(__xludf.DUMMYFUNCTION("""COMPUTED_VALUE"""),"male")</f>
        <v>male</v>
      </c>
      <c r="L250" s="5" t="str">
        <f>IFERROR(__xludf.DUMMYFUNCTION("""COMPUTED_VALUE"""),"5-14 years")</f>
        <v>5-14 years</v>
      </c>
    </row>
    <row r="251">
      <c r="A251" s="57"/>
      <c r="B251" s="11">
        <v>1.0</v>
      </c>
      <c r="C251" s="7" t="s">
        <v>19</v>
      </c>
      <c r="D251" s="11">
        <v>950.0</v>
      </c>
      <c r="E251" s="11">
        <v>30.9</v>
      </c>
      <c r="F251" s="11">
        <v>4.5</v>
      </c>
      <c r="G251" s="51" t="str">
        <f t="shared" si="1"/>
        <v>All races, male, 5-14 years</v>
      </c>
      <c r="H251" s="51" t="str">
        <f t="shared" si="2"/>
        <v>All races, male, 5-14 years</v>
      </c>
      <c r="I251" s="52"/>
      <c r="J251" s="5" t="str">
        <f>IFERROR(__xludf.DUMMYFUNCTION("IFERROR(SPLIT(H251, "", "", FALSE, TRUE), )"),"All races")</f>
        <v>All races</v>
      </c>
      <c r="K251" s="5" t="str">
        <f>IFERROR(__xludf.DUMMYFUNCTION("""COMPUTED_VALUE"""),"male")</f>
        <v>male</v>
      </c>
      <c r="L251" s="5" t="str">
        <f>IFERROR(__xludf.DUMMYFUNCTION("""COMPUTED_VALUE"""),"5-14 years")</f>
        <v>5-14 years</v>
      </c>
    </row>
    <row r="252">
      <c r="A252" s="57"/>
      <c r="B252" s="11">
        <v>2.0</v>
      </c>
      <c r="C252" s="7" t="s">
        <v>17</v>
      </c>
      <c r="D252" s="11">
        <v>471.0</v>
      </c>
      <c r="E252" s="11">
        <v>15.3</v>
      </c>
      <c r="F252" s="11">
        <v>2.2</v>
      </c>
      <c r="G252" s="51" t="str">
        <f t="shared" si="1"/>
        <v>All races, male, 5-14 years</v>
      </c>
      <c r="H252" s="51" t="str">
        <f t="shared" si="2"/>
        <v>All races, male, 5-14 years</v>
      </c>
      <c r="I252" s="52"/>
      <c r="J252" s="5" t="str">
        <f>IFERROR(__xludf.DUMMYFUNCTION("IFERROR(SPLIT(H252, "", "", FALSE, TRUE), )"),"All races")</f>
        <v>All races</v>
      </c>
      <c r="K252" s="5" t="str">
        <f>IFERROR(__xludf.DUMMYFUNCTION("""COMPUTED_VALUE"""),"male")</f>
        <v>male</v>
      </c>
      <c r="L252" s="5" t="str">
        <f>IFERROR(__xludf.DUMMYFUNCTION("""COMPUTED_VALUE"""),"5-14 years")</f>
        <v>5-14 years</v>
      </c>
    </row>
    <row r="253">
      <c r="A253" s="57"/>
      <c r="B253" s="11">
        <v>3.0</v>
      </c>
      <c r="C253" s="7" t="s">
        <v>25</v>
      </c>
      <c r="D253" s="11">
        <v>252.0</v>
      </c>
      <c r="E253" s="11">
        <v>8.2</v>
      </c>
      <c r="F253" s="11">
        <v>1.2</v>
      </c>
      <c r="G253" s="51" t="str">
        <f t="shared" si="1"/>
        <v>All races, male, 5-14 years</v>
      </c>
      <c r="H253" s="51" t="str">
        <f t="shared" si="2"/>
        <v>All races, male, 5-14 years</v>
      </c>
      <c r="I253" s="52"/>
      <c r="J253" s="5" t="str">
        <f>IFERROR(__xludf.DUMMYFUNCTION("IFERROR(SPLIT(H253, "", "", FALSE, TRUE), )"),"All races")</f>
        <v>All races</v>
      </c>
      <c r="K253" s="5" t="str">
        <f>IFERROR(__xludf.DUMMYFUNCTION("""COMPUTED_VALUE"""),"male")</f>
        <v>male</v>
      </c>
      <c r="L253" s="5" t="str">
        <f>IFERROR(__xludf.DUMMYFUNCTION("""COMPUTED_VALUE"""),"5-14 years")</f>
        <v>5-14 years</v>
      </c>
    </row>
    <row r="254">
      <c r="A254" s="57"/>
      <c r="B254" s="11">
        <v>4.0</v>
      </c>
      <c r="C254" s="7" t="s">
        <v>33</v>
      </c>
      <c r="D254" s="11">
        <v>176.0</v>
      </c>
      <c r="E254" s="11">
        <v>5.7</v>
      </c>
      <c r="F254" s="11">
        <v>0.8</v>
      </c>
      <c r="G254" s="51" t="str">
        <f t="shared" si="1"/>
        <v>All races, male, 5-14 years</v>
      </c>
      <c r="H254" s="51" t="str">
        <f t="shared" si="2"/>
        <v>All races, male, 5-14 years</v>
      </c>
      <c r="I254" s="52"/>
      <c r="J254" s="5" t="str">
        <f>IFERROR(__xludf.DUMMYFUNCTION("IFERROR(SPLIT(H254, "", "", FALSE, TRUE), )"),"All races")</f>
        <v>All races</v>
      </c>
      <c r="K254" s="5" t="str">
        <f>IFERROR(__xludf.DUMMYFUNCTION("""COMPUTED_VALUE"""),"male")</f>
        <v>male</v>
      </c>
      <c r="L254" s="5" t="str">
        <f>IFERROR(__xludf.DUMMYFUNCTION("""COMPUTED_VALUE"""),"5-14 years")</f>
        <v>5-14 years</v>
      </c>
    </row>
    <row r="255">
      <c r="A255" s="57"/>
      <c r="B255" s="11">
        <v>5.0</v>
      </c>
      <c r="C255" s="7" t="s">
        <v>34</v>
      </c>
      <c r="D255" s="11">
        <v>168.0</v>
      </c>
      <c r="E255" s="11">
        <v>5.5</v>
      </c>
      <c r="F255" s="11">
        <v>0.8</v>
      </c>
      <c r="G255" s="51" t="str">
        <f t="shared" si="1"/>
        <v>All races, male, 5-14 years</v>
      </c>
      <c r="H255" s="51" t="str">
        <f t="shared" si="2"/>
        <v>All races, male, 5-14 years</v>
      </c>
      <c r="I255" s="52"/>
      <c r="J255" s="5" t="str">
        <f>IFERROR(__xludf.DUMMYFUNCTION("IFERROR(SPLIT(H255, "", "", FALSE, TRUE), )"),"All races")</f>
        <v>All races</v>
      </c>
      <c r="K255" s="5" t="str">
        <f>IFERROR(__xludf.DUMMYFUNCTION("""COMPUTED_VALUE"""),"male")</f>
        <v>male</v>
      </c>
      <c r="L255" s="5" t="str">
        <f>IFERROR(__xludf.DUMMYFUNCTION("""COMPUTED_VALUE"""),"5-14 years")</f>
        <v>5-14 years</v>
      </c>
    </row>
    <row r="256">
      <c r="A256" s="57"/>
      <c r="B256" s="11">
        <v>6.0</v>
      </c>
      <c r="C256" s="7" t="s">
        <v>18</v>
      </c>
      <c r="D256" s="11">
        <v>100.0</v>
      </c>
      <c r="E256" s="11">
        <v>3.2</v>
      </c>
      <c r="F256" s="11">
        <v>0.5</v>
      </c>
      <c r="G256" s="51" t="str">
        <f t="shared" si="1"/>
        <v>All races, male, 5-14 years</v>
      </c>
      <c r="H256" s="51" t="str">
        <f t="shared" si="2"/>
        <v>All races, male, 5-14 years</v>
      </c>
      <c r="I256" s="52"/>
      <c r="J256" s="5" t="str">
        <f>IFERROR(__xludf.DUMMYFUNCTION("IFERROR(SPLIT(H256, "", "", FALSE, TRUE), )"),"All races")</f>
        <v>All races</v>
      </c>
      <c r="K256" s="5" t="str">
        <f>IFERROR(__xludf.DUMMYFUNCTION("""COMPUTED_VALUE"""),"male")</f>
        <v>male</v>
      </c>
      <c r="L256" s="5" t="str">
        <f>IFERROR(__xludf.DUMMYFUNCTION("""COMPUTED_VALUE"""),"5-14 years")</f>
        <v>5-14 years</v>
      </c>
    </row>
    <row r="257">
      <c r="A257" s="57"/>
      <c r="B257" s="11">
        <v>7.0</v>
      </c>
      <c r="C257" s="7" t="s">
        <v>16</v>
      </c>
      <c r="D257" s="11">
        <v>93.0</v>
      </c>
      <c r="E257" s="11">
        <v>3.0</v>
      </c>
      <c r="F257" s="11">
        <v>0.4</v>
      </c>
      <c r="G257" s="51" t="str">
        <f t="shared" si="1"/>
        <v>All races, male, 5-14 years</v>
      </c>
      <c r="H257" s="51" t="str">
        <f t="shared" si="2"/>
        <v>All races, male, 5-14 years</v>
      </c>
      <c r="I257" s="52"/>
      <c r="J257" s="5" t="str">
        <f>IFERROR(__xludf.DUMMYFUNCTION("IFERROR(SPLIT(H257, "", "", FALSE, TRUE), )"),"All races")</f>
        <v>All races</v>
      </c>
      <c r="K257" s="5" t="str">
        <f>IFERROR(__xludf.DUMMYFUNCTION("""COMPUTED_VALUE"""),"male")</f>
        <v>male</v>
      </c>
      <c r="L257" s="5" t="str">
        <f>IFERROR(__xludf.DUMMYFUNCTION("""COMPUTED_VALUE"""),"5-14 years")</f>
        <v>5-14 years</v>
      </c>
    </row>
    <row r="258">
      <c r="A258" s="57"/>
      <c r="B258" s="11">
        <v>8.0</v>
      </c>
      <c r="C258" s="7" t="s">
        <v>23</v>
      </c>
      <c r="D258" s="11">
        <v>70.0</v>
      </c>
      <c r="E258" s="11">
        <v>2.3</v>
      </c>
      <c r="F258" s="11">
        <v>0.3</v>
      </c>
      <c r="G258" s="51" t="str">
        <f t="shared" si="1"/>
        <v>All races, male, 5-14 years</v>
      </c>
      <c r="H258" s="51" t="str">
        <f t="shared" si="2"/>
        <v>All races, male, 5-14 years</v>
      </c>
      <c r="I258" s="52"/>
      <c r="J258" s="5" t="str">
        <f>IFERROR(__xludf.DUMMYFUNCTION("IFERROR(SPLIT(H258, "", "", FALSE, TRUE), )"),"All races")</f>
        <v>All races</v>
      </c>
      <c r="K258" s="5" t="str">
        <f>IFERROR(__xludf.DUMMYFUNCTION("""COMPUTED_VALUE"""),"male")</f>
        <v>male</v>
      </c>
      <c r="L258" s="5" t="str">
        <f>IFERROR(__xludf.DUMMYFUNCTION("""COMPUTED_VALUE"""),"5-14 years")</f>
        <v>5-14 years</v>
      </c>
    </row>
    <row r="259">
      <c r="A259" s="57"/>
      <c r="B259" s="11">
        <v>9.0</v>
      </c>
      <c r="C259" s="7" t="s">
        <v>20</v>
      </c>
      <c r="D259" s="11">
        <v>44.0</v>
      </c>
      <c r="E259" s="11">
        <v>1.4</v>
      </c>
      <c r="F259" s="11">
        <v>0.2</v>
      </c>
      <c r="G259" s="51" t="str">
        <f t="shared" si="1"/>
        <v>All races, male, 5-14 years</v>
      </c>
      <c r="H259" s="51" t="str">
        <f t="shared" si="2"/>
        <v>All races, male, 5-14 years</v>
      </c>
      <c r="I259" s="52"/>
      <c r="J259" s="5" t="str">
        <f>IFERROR(__xludf.DUMMYFUNCTION("IFERROR(SPLIT(H259, "", "", FALSE, TRUE), )"),"All races")</f>
        <v>All races</v>
      </c>
      <c r="K259" s="5" t="str">
        <f>IFERROR(__xludf.DUMMYFUNCTION("""COMPUTED_VALUE"""),"male")</f>
        <v>male</v>
      </c>
      <c r="L259" s="5" t="str">
        <f>IFERROR(__xludf.DUMMYFUNCTION("""COMPUTED_VALUE"""),"5-14 years")</f>
        <v>5-14 years</v>
      </c>
    </row>
    <row r="260">
      <c r="A260" s="57"/>
      <c r="B260" s="11">
        <v>10.0</v>
      </c>
      <c r="C260" s="7" t="s">
        <v>35</v>
      </c>
      <c r="D260" s="11">
        <v>40.0</v>
      </c>
      <c r="E260" s="11">
        <v>1.3</v>
      </c>
      <c r="F260" s="11">
        <v>0.2</v>
      </c>
      <c r="G260" s="51" t="str">
        <f t="shared" si="1"/>
        <v>All races, male, 5-14 years</v>
      </c>
      <c r="H260" s="51" t="str">
        <f t="shared" si="2"/>
        <v>All races, male, 5-14 years</v>
      </c>
      <c r="I260" s="52"/>
      <c r="J260" s="5" t="str">
        <f>IFERROR(__xludf.DUMMYFUNCTION("IFERROR(SPLIT(H260, "", "", FALSE, TRUE), )"),"All races")</f>
        <v>All races</v>
      </c>
      <c r="K260" s="5" t="str">
        <f>IFERROR(__xludf.DUMMYFUNCTION("""COMPUTED_VALUE"""),"male")</f>
        <v>male</v>
      </c>
      <c r="L260" s="5" t="str">
        <f>IFERROR(__xludf.DUMMYFUNCTION("""COMPUTED_VALUE"""),"5-14 years")</f>
        <v>5-14 years</v>
      </c>
    </row>
    <row r="261">
      <c r="A261" s="57"/>
      <c r="B261" s="11">
        <v>11.0</v>
      </c>
      <c r="C261" s="7" t="s">
        <v>26</v>
      </c>
      <c r="D261" s="11">
        <v>32.0</v>
      </c>
      <c r="E261" s="11">
        <v>1.0</v>
      </c>
      <c r="F261" s="11">
        <v>0.2</v>
      </c>
      <c r="G261" s="51" t="str">
        <f t="shared" si="1"/>
        <v>All races, male, 5-14 years</v>
      </c>
      <c r="H261" s="51" t="str">
        <f t="shared" si="2"/>
        <v>All races, male, 5-14 years</v>
      </c>
      <c r="I261" s="52"/>
      <c r="J261" s="5" t="str">
        <f>IFERROR(__xludf.DUMMYFUNCTION("IFERROR(SPLIT(H261, "", "", FALSE, TRUE), )"),"All races")</f>
        <v>All races</v>
      </c>
      <c r="K261" s="5" t="str">
        <f>IFERROR(__xludf.DUMMYFUNCTION("""COMPUTED_VALUE"""),"male")</f>
        <v>male</v>
      </c>
      <c r="L261" s="5" t="str">
        <f>IFERROR(__xludf.DUMMYFUNCTION("""COMPUTED_VALUE"""),"5-14 years")</f>
        <v>5-14 years</v>
      </c>
    </row>
    <row r="262">
      <c r="A262" s="57"/>
      <c r="B262" s="11">
        <v>12.0</v>
      </c>
      <c r="C262" s="7" t="s">
        <v>36</v>
      </c>
      <c r="D262" s="11">
        <v>17.0</v>
      </c>
      <c r="E262" s="11">
        <v>0.6</v>
      </c>
      <c r="F262" s="7" t="s">
        <v>93</v>
      </c>
      <c r="G262" s="51" t="str">
        <f t="shared" si="1"/>
        <v>All races, male, 5-14 years</v>
      </c>
      <c r="H262" s="51" t="str">
        <f t="shared" si="2"/>
        <v>All races, male, 5-14 years</v>
      </c>
      <c r="I262" s="52"/>
      <c r="J262" s="5" t="str">
        <f>IFERROR(__xludf.DUMMYFUNCTION("IFERROR(SPLIT(H262, "", "", FALSE, TRUE), )"),"All races")</f>
        <v>All races</v>
      </c>
      <c r="K262" s="5" t="str">
        <f>IFERROR(__xludf.DUMMYFUNCTION("""COMPUTED_VALUE"""),"male")</f>
        <v>male</v>
      </c>
      <c r="L262" s="5" t="str">
        <f>IFERROR(__xludf.DUMMYFUNCTION("""COMPUTED_VALUE"""),"5-14 years")</f>
        <v>5-14 years</v>
      </c>
    </row>
    <row r="263">
      <c r="A263" s="57"/>
      <c r="B263" s="11">
        <v>13.0</v>
      </c>
      <c r="C263" s="7" t="s">
        <v>39</v>
      </c>
      <c r="D263" s="11">
        <v>15.0</v>
      </c>
      <c r="E263" s="11">
        <v>0.5</v>
      </c>
      <c r="F263" s="7" t="s">
        <v>93</v>
      </c>
      <c r="G263" s="51" t="str">
        <f t="shared" si="1"/>
        <v>All races, male, 5-14 years</v>
      </c>
      <c r="H263" s="51" t="str">
        <f t="shared" si="2"/>
        <v>All races, male, 5-14 years</v>
      </c>
      <c r="I263" s="52"/>
      <c r="J263" s="5" t="str">
        <f>IFERROR(__xludf.DUMMYFUNCTION("IFERROR(SPLIT(H263, "", "", FALSE, TRUE), )"),"All races")</f>
        <v>All races</v>
      </c>
      <c r="K263" s="5" t="str">
        <f>IFERROR(__xludf.DUMMYFUNCTION("""COMPUTED_VALUE"""),"male")</f>
        <v>male</v>
      </c>
      <c r="L263" s="5" t="str">
        <f>IFERROR(__xludf.DUMMYFUNCTION("""COMPUTED_VALUE"""),"5-14 years")</f>
        <v>5-14 years</v>
      </c>
    </row>
    <row r="264">
      <c r="A264" s="57"/>
      <c r="B264" s="11">
        <v>14.0</v>
      </c>
      <c r="C264" s="7" t="s">
        <v>22</v>
      </c>
      <c r="D264" s="11">
        <v>12.0</v>
      </c>
      <c r="E264" s="11">
        <v>0.4</v>
      </c>
      <c r="F264" s="7" t="s">
        <v>93</v>
      </c>
      <c r="G264" s="51" t="str">
        <f t="shared" si="1"/>
        <v>All races, male, 5-14 years</v>
      </c>
      <c r="H264" s="51" t="str">
        <f t="shared" si="2"/>
        <v>All races, male, 5-14 years</v>
      </c>
      <c r="I264" s="52"/>
      <c r="J264" s="5" t="str">
        <f>IFERROR(__xludf.DUMMYFUNCTION("IFERROR(SPLIT(H264, "", "", FALSE, TRUE), )"),"All races")</f>
        <v>All races</v>
      </c>
      <c r="K264" s="5" t="str">
        <f>IFERROR(__xludf.DUMMYFUNCTION("""COMPUTED_VALUE"""),"male")</f>
        <v>male</v>
      </c>
      <c r="L264" s="5" t="str">
        <f>IFERROR(__xludf.DUMMYFUNCTION("""COMPUTED_VALUE"""),"5-14 years")</f>
        <v>5-14 years</v>
      </c>
    </row>
    <row r="265">
      <c r="A265" s="57"/>
      <c r="B265" s="11">
        <v>15.0</v>
      </c>
      <c r="C265" s="7" t="s">
        <v>37</v>
      </c>
      <c r="D265" s="11">
        <v>11.0</v>
      </c>
      <c r="E265" s="11">
        <v>0.4</v>
      </c>
      <c r="F265" s="7" t="s">
        <v>93</v>
      </c>
      <c r="G265" s="51" t="str">
        <f t="shared" si="1"/>
        <v>All races, male, 5-14 years</v>
      </c>
      <c r="H265" s="51" t="str">
        <f t="shared" si="2"/>
        <v>All races, male, 5-14 years</v>
      </c>
      <c r="I265" s="52"/>
      <c r="J265" s="5" t="str">
        <f>IFERROR(__xludf.DUMMYFUNCTION("IFERROR(SPLIT(H265, "", "", FALSE, TRUE), )"),"All races")</f>
        <v>All races</v>
      </c>
      <c r="K265" s="5" t="str">
        <f>IFERROR(__xludf.DUMMYFUNCTION("""COMPUTED_VALUE"""),"male")</f>
        <v>male</v>
      </c>
      <c r="L265" s="5" t="str">
        <f>IFERROR(__xludf.DUMMYFUNCTION("""COMPUTED_VALUE"""),"5-14 years")</f>
        <v>5-14 years</v>
      </c>
    </row>
    <row r="266">
      <c r="A266" s="57"/>
      <c r="B266" s="7" t="s">
        <v>12</v>
      </c>
      <c r="C266" s="7" t="s">
        <v>31</v>
      </c>
      <c r="D266" s="11">
        <v>626.0</v>
      </c>
      <c r="E266" s="11">
        <v>20.3</v>
      </c>
      <c r="F266" s="11">
        <v>3.0</v>
      </c>
      <c r="G266" s="51" t="str">
        <f t="shared" si="1"/>
        <v>All races, male, 5-14 years</v>
      </c>
      <c r="H266" s="51" t="str">
        <f t="shared" si="2"/>
        <v>All races, male, 5-14 years</v>
      </c>
      <c r="I266" s="52"/>
      <c r="J266" s="5" t="str">
        <f>IFERROR(__xludf.DUMMYFUNCTION("IFERROR(SPLIT(H266, "", "", FALSE, TRUE), )"),"All races")</f>
        <v>All races</v>
      </c>
      <c r="K266" s="5" t="str">
        <f>IFERROR(__xludf.DUMMYFUNCTION("""COMPUTED_VALUE"""),"male")</f>
        <v>male</v>
      </c>
      <c r="L266" s="5" t="str">
        <f>IFERROR(__xludf.DUMMYFUNCTION("""COMPUTED_VALUE"""),"5-14 years")</f>
        <v>5-14 years</v>
      </c>
    </row>
    <row r="267">
      <c r="A267" s="55" t="s">
        <v>89</v>
      </c>
      <c r="B267" s="49" t="s">
        <v>106</v>
      </c>
      <c r="G267" s="51" t="str">
        <f t="shared" si="1"/>
        <v>All races, male, 5-14 years</v>
      </c>
      <c r="H267" s="51" t="str">
        <f t="shared" si="2"/>
        <v/>
      </c>
      <c r="I267" s="52"/>
      <c r="J267" s="5" t="str">
        <f>IFERROR(__xludf.DUMMYFUNCTION("IFERROR(SPLIT(H267, "", "", FALSE, TRUE), )"),"")</f>
        <v/>
      </c>
    </row>
    <row r="268">
      <c r="A268" s="56"/>
      <c r="B268" s="3" t="s">
        <v>3</v>
      </c>
      <c r="C268" s="3" t="s">
        <v>4</v>
      </c>
      <c r="D268" s="3" t="s">
        <v>5</v>
      </c>
      <c r="E268" s="3" t="s">
        <v>6</v>
      </c>
      <c r="F268" s="3" t="s">
        <v>7</v>
      </c>
      <c r="G268" s="51" t="str">
        <f t="shared" si="1"/>
        <v>All races, male, 15-24 years</v>
      </c>
      <c r="H268" s="51" t="str">
        <f t="shared" si="2"/>
        <v/>
      </c>
      <c r="I268" s="52"/>
      <c r="J268" s="5" t="str">
        <f>IFERROR(__xludf.DUMMYFUNCTION("IFERROR(SPLIT(H268, "", "", FALSE, TRUE), )"),"")</f>
        <v/>
      </c>
    </row>
    <row r="269">
      <c r="A269" s="57"/>
      <c r="B269" s="7" t="s">
        <v>12</v>
      </c>
      <c r="C269" s="7" t="s">
        <v>13</v>
      </c>
      <c r="D269" s="53">
        <v>20864.0</v>
      </c>
      <c r="E269" s="11">
        <v>100.0</v>
      </c>
      <c r="F269" s="11">
        <v>92.6</v>
      </c>
      <c r="G269" s="51" t="str">
        <f t="shared" si="1"/>
        <v>All races, male, 15-24 years</v>
      </c>
      <c r="H269" s="51" t="str">
        <f t="shared" si="2"/>
        <v>All races, male, 15-24 years</v>
      </c>
      <c r="I269" s="52"/>
      <c r="J269" s="5" t="str">
        <f>IFERROR(__xludf.DUMMYFUNCTION("IFERROR(SPLIT(H269, "", "", FALSE, TRUE), )"),"All races")</f>
        <v>All races</v>
      </c>
      <c r="K269" s="5" t="str">
        <f>IFERROR(__xludf.DUMMYFUNCTION("""COMPUTED_VALUE"""),"male")</f>
        <v>male</v>
      </c>
      <c r="L269" s="5" t="str">
        <f>IFERROR(__xludf.DUMMYFUNCTION("""COMPUTED_VALUE"""),"15-24 years")</f>
        <v>15-24 years</v>
      </c>
    </row>
    <row r="270">
      <c r="A270" s="57"/>
      <c r="B270" s="11">
        <v>1.0</v>
      </c>
      <c r="C270" s="7" t="s">
        <v>19</v>
      </c>
      <c r="D270" s="53">
        <v>8545.0</v>
      </c>
      <c r="E270" s="11">
        <v>41.0</v>
      </c>
      <c r="F270" s="11">
        <v>37.9</v>
      </c>
      <c r="G270" s="51" t="str">
        <f t="shared" si="1"/>
        <v>All races, male, 15-24 years</v>
      </c>
      <c r="H270" s="51" t="str">
        <f t="shared" si="2"/>
        <v>All races, male, 15-24 years</v>
      </c>
      <c r="I270" s="52"/>
      <c r="J270" s="5" t="str">
        <f>IFERROR(__xludf.DUMMYFUNCTION("IFERROR(SPLIT(H270, "", "", FALSE, TRUE), )"),"All races")</f>
        <v>All races</v>
      </c>
      <c r="K270" s="5" t="str">
        <f>IFERROR(__xludf.DUMMYFUNCTION("""COMPUTED_VALUE"""),"male")</f>
        <v>male</v>
      </c>
      <c r="L270" s="5" t="str">
        <f>IFERROR(__xludf.DUMMYFUNCTION("""COMPUTED_VALUE"""),"15-24 years")</f>
        <v>15-24 years</v>
      </c>
    </row>
    <row r="271">
      <c r="A271" s="57"/>
      <c r="B271" s="11">
        <v>2.0</v>
      </c>
      <c r="C271" s="7" t="s">
        <v>25</v>
      </c>
      <c r="D271" s="53">
        <v>3903.0</v>
      </c>
      <c r="E271" s="11">
        <v>18.7</v>
      </c>
      <c r="F271" s="11">
        <v>17.3</v>
      </c>
      <c r="G271" s="51" t="str">
        <f t="shared" si="1"/>
        <v>All races, male, 15-24 years</v>
      </c>
      <c r="H271" s="51" t="str">
        <f t="shared" si="2"/>
        <v>All races, male, 15-24 years</v>
      </c>
      <c r="I271" s="52"/>
      <c r="J271" s="5" t="str">
        <f>IFERROR(__xludf.DUMMYFUNCTION("IFERROR(SPLIT(H271, "", "", FALSE, TRUE), )"),"All races")</f>
        <v>All races</v>
      </c>
      <c r="K271" s="5" t="str">
        <f>IFERROR(__xludf.DUMMYFUNCTION("""COMPUTED_VALUE"""),"male")</f>
        <v>male</v>
      </c>
      <c r="L271" s="5" t="str">
        <f>IFERROR(__xludf.DUMMYFUNCTION("""COMPUTED_VALUE"""),"15-24 years")</f>
        <v>15-24 years</v>
      </c>
    </row>
    <row r="272">
      <c r="A272" s="57"/>
      <c r="B272" s="11">
        <v>3.0</v>
      </c>
      <c r="C272" s="7" t="s">
        <v>34</v>
      </c>
      <c r="D272" s="53">
        <v>3765.0</v>
      </c>
      <c r="E272" s="11">
        <v>18.0</v>
      </c>
      <c r="F272" s="11">
        <v>16.7</v>
      </c>
      <c r="G272" s="51" t="str">
        <f t="shared" si="1"/>
        <v>All races, male, 15-24 years</v>
      </c>
      <c r="H272" s="51" t="str">
        <f t="shared" si="2"/>
        <v>All races, male, 15-24 years</v>
      </c>
      <c r="I272" s="52"/>
      <c r="J272" s="5" t="str">
        <f>IFERROR(__xludf.DUMMYFUNCTION("IFERROR(SPLIT(H272, "", "", FALSE, TRUE), )"),"All races")</f>
        <v>All races</v>
      </c>
      <c r="K272" s="5" t="str">
        <f>IFERROR(__xludf.DUMMYFUNCTION("""COMPUTED_VALUE"""),"male")</f>
        <v>male</v>
      </c>
      <c r="L272" s="5" t="str">
        <f>IFERROR(__xludf.DUMMYFUNCTION("""COMPUTED_VALUE"""),"15-24 years")</f>
        <v>15-24 years</v>
      </c>
    </row>
    <row r="273">
      <c r="A273" s="57"/>
      <c r="B273" s="11">
        <v>4.0</v>
      </c>
      <c r="C273" s="7" t="s">
        <v>17</v>
      </c>
      <c r="D273" s="11">
        <v>859.0</v>
      </c>
      <c r="E273" s="11">
        <v>4.1</v>
      </c>
      <c r="F273" s="11">
        <v>3.8</v>
      </c>
      <c r="G273" s="51" t="str">
        <f t="shared" si="1"/>
        <v>All races, male, 15-24 years</v>
      </c>
      <c r="H273" s="51" t="str">
        <f t="shared" si="2"/>
        <v>All races, male, 15-24 years</v>
      </c>
      <c r="I273" s="52"/>
      <c r="J273" s="5" t="str">
        <f>IFERROR(__xludf.DUMMYFUNCTION("IFERROR(SPLIT(H273, "", "", FALSE, TRUE), )"),"All races")</f>
        <v>All races</v>
      </c>
      <c r="K273" s="5" t="str">
        <f>IFERROR(__xludf.DUMMYFUNCTION("""COMPUTED_VALUE"""),"male")</f>
        <v>male</v>
      </c>
      <c r="L273" s="5" t="str">
        <f>IFERROR(__xludf.DUMMYFUNCTION("""COMPUTED_VALUE"""),"15-24 years")</f>
        <v>15-24 years</v>
      </c>
    </row>
    <row r="274">
      <c r="A274" s="57"/>
      <c r="B274" s="11">
        <v>5.0</v>
      </c>
      <c r="C274" s="7" t="s">
        <v>16</v>
      </c>
      <c r="D274" s="11">
        <v>628.0</v>
      </c>
      <c r="E274" s="11">
        <v>3.0</v>
      </c>
      <c r="F274" s="11">
        <v>2.8</v>
      </c>
      <c r="G274" s="51" t="str">
        <f t="shared" si="1"/>
        <v>All races, male, 15-24 years</v>
      </c>
      <c r="H274" s="51" t="str">
        <f t="shared" si="2"/>
        <v>All races, male, 15-24 years</v>
      </c>
      <c r="I274" s="52"/>
      <c r="J274" s="5" t="str">
        <f>IFERROR(__xludf.DUMMYFUNCTION("IFERROR(SPLIT(H274, "", "", FALSE, TRUE), )"),"All races")</f>
        <v>All races</v>
      </c>
      <c r="K274" s="5" t="str">
        <f>IFERROR(__xludf.DUMMYFUNCTION("""COMPUTED_VALUE"""),"male")</f>
        <v>male</v>
      </c>
      <c r="L274" s="5" t="str">
        <f>IFERROR(__xludf.DUMMYFUNCTION("""COMPUTED_VALUE"""),"15-24 years")</f>
        <v>15-24 years</v>
      </c>
    </row>
    <row r="275">
      <c r="A275" s="57"/>
      <c r="B275" s="11">
        <v>6.0</v>
      </c>
      <c r="C275" s="7" t="s">
        <v>33</v>
      </c>
      <c r="D275" s="11">
        <v>223.0</v>
      </c>
      <c r="E275" s="11">
        <v>1.1</v>
      </c>
      <c r="F275" s="11">
        <v>1.0</v>
      </c>
      <c r="G275" s="51" t="str">
        <f t="shared" si="1"/>
        <v>All races, male, 15-24 years</v>
      </c>
      <c r="H275" s="51" t="str">
        <f t="shared" si="2"/>
        <v>All races, male, 15-24 years</v>
      </c>
      <c r="I275" s="52"/>
      <c r="J275" s="5" t="str">
        <f>IFERROR(__xludf.DUMMYFUNCTION("IFERROR(SPLIT(H275, "", "", FALSE, TRUE), )"),"All races")</f>
        <v>All races</v>
      </c>
      <c r="K275" s="5" t="str">
        <f>IFERROR(__xludf.DUMMYFUNCTION("""COMPUTED_VALUE"""),"male")</f>
        <v>male</v>
      </c>
      <c r="L275" s="5" t="str">
        <f>IFERROR(__xludf.DUMMYFUNCTION("""COMPUTED_VALUE"""),"15-24 years")</f>
        <v>15-24 years</v>
      </c>
    </row>
    <row r="276">
      <c r="A276" s="57"/>
      <c r="B276" s="11">
        <v>7.0</v>
      </c>
      <c r="C276" s="7" t="s">
        <v>22</v>
      </c>
      <c r="D276" s="11">
        <v>120.0</v>
      </c>
      <c r="E276" s="11">
        <v>0.6</v>
      </c>
      <c r="F276" s="11">
        <v>0.5</v>
      </c>
      <c r="G276" s="51" t="str">
        <f t="shared" si="1"/>
        <v>All races, male, 15-24 years</v>
      </c>
      <c r="H276" s="51" t="str">
        <f t="shared" si="2"/>
        <v>All races, male, 15-24 years</v>
      </c>
      <c r="I276" s="52"/>
      <c r="J276" s="5" t="str">
        <f>IFERROR(__xludf.DUMMYFUNCTION("IFERROR(SPLIT(H276, "", "", FALSE, TRUE), )"),"All races")</f>
        <v>All races</v>
      </c>
      <c r="K276" s="5" t="str">
        <f>IFERROR(__xludf.DUMMYFUNCTION("""COMPUTED_VALUE"""),"male")</f>
        <v>male</v>
      </c>
      <c r="L276" s="5" t="str">
        <f>IFERROR(__xludf.DUMMYFUNCTION("""COMPUTED_VALUE"""),"15-24 years")</f>
        <v>15-24 years</v>
      </c>
    </row>
    <row r="277">
      <c r="A277" s="57"/>
      <c r="B277" s="11">
        <v>8.0</v>
      </c>
      <c r="C277" s="7" t="s">
        <v>23</v>
      </c>
      <c r="D277" s="11">
        <v>114.0</v>
      </c>
      <c r="E277" s="11">
        <v>0.5</v>
      </c>
      <c r="F277" s="11">
        <v>0.5</v>
      </c>
      <c r="G277" s="51" t="str">
        <f t="shared" si="1"/>
        <v>All races, male, 15-24 years</v>
      </c>
      <c r="H277" s="51" t="str">
        <f t="shared" si="2"/>
        <v>All races, male, 15-24 years</v>
      </c>
      <c r="I277" s="52"/>
      <c r="J277" s="5" t="str">
        <f>IFERROR(__xludf.DUMMYFUNCTION("IFERROR(SPLIT(H277, "", "", FALSE, TRUE), )"),"All races")</f>
        <v>All races</v>
      </c>
      <c r="K277" s="5" t="str">
        <f>IFERROR(__xludf.DUMMYFUNCTION("""COMPUTED_VALUE"""),"male")</f>
        <v>male</v>
      </c>
      <c r="L277" s="5" t="str">
        <f>IFERROR(__xludf.DUMMYFUNCTION("""COMPUTED_VALUE"""),"15-24 years")</f>
        <v>15-24 years</v>
      </c>
    </row>
    <row r="278">
      <c r="A278" s="57"/>
      <c r="B278" s="11">
        <v>9.0</v>
      </c>
      <c r="C278" s="7" t="s">
        <v>18</v>
      </c>
      <c r="D278" s="11">
        <v>101.0</v>
      </c>
      <c r="E278" s="11">
        <v>0.5</v>
      </c>
      <c r="F278" s="11">
        <v>0.4</v>
      </c>
      <c r="G278" s="51" t="str">
        <f t="shared" si="1"/>
        <v>All races, male, 15-24 years</v>
      </c>
      <c r="H278" s="51" t="str">
        <f t="shared" si="2"/>
        <v>All races, male, 15-24 years</v>
      </c>
      <c r="I278" s="52"/>
      <c r="J278" s="5" t="str">
        <f>IFERROR(__xludf.DUMMYFUNCTION("IFERROR(SPLIT(H278, "", "", FALSE, TRUE), )"),"All races")</f>
        <v>All races</v>
      </c>
      <c r="K278" s="5" t="str">
        <f>IFERROR(__xludf.DUMMYFUNCTION("""COMPUTED_VALUE"""),"male")</f>
        <v>male</v>
      </c>
      <c r="L278" s="5" t="str">
        <f>IFERROR(__xludf.DUMMYFUNCTION("""COMPUTED_VALUE"""),"15-24 years")</f>
        <v>15-24 years</v>
      </c>
    </row>
    <row r="279">
      <c r="A279" s="57"/>
      <c r="B279" s="11">
        <v>10.0</v>
      </c>
      <c r="C279" s="7" t="s">
        <v>45</v>
      </c>
      <c r="D279" s="11">
        <v>95.0</v>
      </c>
      <c r="E279" s="11">
        <v>0.5</v>
      </c>
      <c r="F279" s="11">
        <v>0.4</v>
      </c>
      <c r="G279" s="51" t="str">
        <f t="shared" si="1"/>
        <v>All races, male, 15-24 years</v>
      </c>
      <c r="H279" s="51" t="str">
        <f t="shared" si="2"/>
        <v>All races, male, 15-24 years</v>
      </c>
      <c r="I279" s="52"/>
      <c r="J279" s="5" t="str">
        <f>IFERROR(__xludf.DUMMYFUNCTION("IFERROR(SPLIT(H279, "", "", FALSE, TRUE), )"),"All races")</f>
        <v>All races</v>
      </c>
      <c r="K279" s="5" t="str">
        <f>IFERROR(__xludf.DUMMYFUNCTION("""COMPUTED_VALUE"""),"male")</f>
        <v>male</v>
      </c>
      <c r="L279" s="5" t="str">
        <f>IFERROR(__xludf.DUMMYFUNCTION("""COMPUTED_VALUE"""),"15-24 years")</f>
        <v>15-24 years</v>
      </c>
    </row>
    <row r="280">
      <c r="A280" s="57"/>
      <c r="B280" s="11">
        <v>11.0</v>
      </c>
      <c r="C280" s="7" t="s">
        <v>20</v>
      </c>
      <c r="D280" s="11">
        <v>85.0</v>
      </c>
      <c r="E280" s="11">
        <v>0.4</v>
      </c>
      <c r="F280" s="11">
        <v>0.4</v>
      </c>
      <c r="G280" s="51" t="str">
        <f t="shared" si="1"/>
        <v>All races, male, 15-24 years</v>
      </c>
      <c r="H280" s="51" t="str">
        <f t="shared" si="2"/>
        <v>All races, male, 15-24 years</v>
      </c>
      <c r="I280" s="52"/>
      <c r="J280" s="5" t="str">
        <f>IFERROR(__xludf.DUMMYFUNCTION("IFERROR(SPLIT(H280, "", "", FALSE, TRUE), )"),"All races")</f>
        <v>All races</v>
      </c>
      <c r="K280" s="5" t="str">
        <f>IFERROR(__xludf.DUMMYFUNCTION("""COMPUTED_VALUE"""),"male")</f>
        <v>male</v>
      </c>
      <c r="L280" s="5" t="str">
        <f>IFERROR(__xludf.DUMMYFUNCTION("""COMPUTED_VALUE"""),"15-24 years")</f>
        <v>15-24 years</v>
      </c>
    </row>
    <row r="281">
      <c r="A281" s="57"/>
      <c r="B281" s="11">
        <v>12.0</v>
      </c>
      <c r="C281" s="7" t="s">
        <v>44</v>
      </c>
      <c r="D281" s="11">
        <v>81.0</v>
      </c>
      <c r="E281" s="11">
        <v>0.4</v>
      </c>
      <c r="F281" s="11">
        <v>0.4</v>
      </c>
      <c r="G281" s="51" t="str">
        <f t="shared" si="1"/>
        <v>All races, male, 15-24 years</v>
      </c>
      <c r="H281" s="51" t="str">
        <f t="shared" si="2"/>
        <v>All races, male, 15-24 years</v>
      </c>
      <c r="I281" s="52"/>
      <c r="J281" s="5" t="str">
        <f>IFERROR(__xludf.DUMMYFUNCTION("IFERROR(SPLIT(H281, "", "", FALSE, TRUE), )"),"All races")</f>
        <v>All races</v>
      </c>
      <c r="K281" s="5" t="str">
        <f>IFERROR(__xludf.DUMMYFUNCTION("""COMPUTED_VALUE"""),"male")</f>
        <v>male</v>
      </c>
      <c r="L281" s="5" t="str">
        <f>IFERROR(__xludf.DUMMYFUNCTION("""COMPUTED_VALUE"""),"15-24 years")</f>
        <v>15-24 years</v>
      </c>
    </row>
    <row r="282">
      <c r="A282" s="57"/>
      <c r="B282" s="11">
        <v>13.0</v>
      </c>
      <c r="C282" s="7" t="s">
        <v>26</v>
      </c>
      <c r="D282" s="11">
        <v>74.0</v>
      </c>
      <c r="E282" s="11">
        <v>0.4</v>
      </c>
      <c r="F282" s="11">
        <v>0.3</v>
      </c>
      <c r="G282" s="51" t="str">
        <f t="shared" si="1"/>
        <v>All races, male, 15-24 years</v>
      </c>
      <c r="H282" s="51" t="str">
        <f t="shared" si="2"/>
        <v>All races, male, 15-24 years</v>
      </c>
      <c r="I282" s="52"/>
      <c r="J282" s="5" t="str">
        <f>IFERROR(__xludf.DUMMYFUNCTION("IFERROR(SPLIT(H282, "", "", FALSE, TRUE), )"),"All races")</f>
        <v>All races</v>
      </c>
      <c r="K282" s="5" t="str">
        <f>IFERROR(__xludf.DUMMYFUNCTION("""COMPUTED_VALUE"""),"male")</f>
        <v>male</v>
      </c>
      <c r="L282" s="5" t="str">
        <f>IFERROR(__xludf.DUMMYFUNCTION("""COMPUTED_VALUE"""),"15-24 years")</f>
        <v>15-24 years</v>
      </c>
    </row>
    <row r="283">
      <c r="A283" s="57"/>
      <c r="B283" s="11">
        <v>14.0</v>
      </c>
      <c r="C283" s="7" t="s">
        <v>35</v>
      </c>
      <c r="D283" s="11">
        <v>57.0</v>
      </c>
      <c r="E283" s="11">
        <v>0.3</v>
      </c>
      <c r="F283" s="11">
        <v>0.3</v>
      </c>
      <c r="G283" s="51" t="str">
        <f t="shared" si="1"/>
        <v>All races, male, 15-24 years</v>
      </c>
      <c r="H283" s="51" t="str">
        <f t="shared" si="2"/>
        <v>All races, male, 15-24 years</v>
      </c>
      <c r="I283" s="52"/>
      <c r="J283" s="5" t="str">
        <f>IFERROR(__xludf.DUMMYFUNCTION("IFERROR(SPLIT(H283, "", "", FALSE, TRUE), )"),"All races")</f>
        <v>All races</v>
      </c>
      <c r="K283" s="5" t="str">
        <f>IFERROR(__xludf.DUMMYFUNCTION("""COMPUTED_VALUE"""),"male")</f>
        <v>male</v>
      </c>
      <c r="L283" s="5" t="str">
        <f>IFERROR(__xludf.DUMMYFUNCTION("""COMPUTED_VALUE"""),"15-24 years")</f>
        <v>15-24 years</v>
      </c>
    </row>
    <row r="284">
      <c r="A284" s="57"/>
      <c r="B284" s="11">
        <v>15.0</v>
      </c>
      <c r="C284" s="7" t="s">
        <v>38</v>
      </c>
      <c r="D284" s="11">
        <v>54.0</v>
      </c>
      <c r="E284" s="11">
        <v>0.3</v>
      </c>
      <c r="F284" s="11">
        <v>0.2</v>
      </c>
      <c r="G284" s="51" t="str">
        <f t="shared" si="1"/>
        <v>All races, male, 15-24 years</v>
      </c>
      <c r="H284" s="51" t="str">
        <f t="shared" si="2"/>
        <v>All races, male, 15-24 years</v>
      </c>
      <c r="I284" s="52"/>
      <c r="J284" s="5" t="str">
        <f>IFERROR(__xludf.DUMMYFUNCTION("IFERROR(SPLIT(H284, "", "", FALSE, TRUE), )"),"All races")</f>
        <v>All races</v>
      </c>
      <c r="K284" s="5" t="str">
        <f>IFERROR(__xludf.DUMMYFUNCTION("""COMPUTED_VALUE"""),"male")</f>
        <v>male</v>
      </c>
      <c r="L284" s="5" t="str">
        <f>IFERROR(__xludf.DUMMYFUNCTION("""COMPUTED_VALUE"""),"15-24 years")</f>
        <v>15-24 years</v>
      </c>
    </row>
    <row r="285">
      <c r="A285" s="57"/>
      <c r="B285" s="7" t="s">
        <v>12</v>
      </c>
      <c r="C285" s="7" t="s">
        <v>31</v>
      </c>
      <c r="D285" s="53">
        <v>2160.0</v>
      </c>
      <c r="E285" s="11">
        <v>10.4</v>
      </c>
      <c r="F285" s="11">
        <v>9.6</v>
      </c>
      <c r="G285" s="51" t="str">
        <f t="shared" si="1"/>
        <v>All races, male, 15-24 years</v>
      </c>
      <c r="H285" s="51" t="str">
        <f t="shared" si="2"/>
        <v>All races, male, 15-24 years</v>
      </c>
      <c r="I285" s="52"/>
      <c r="J285" s="5" t="str">
        <f>IFERROR(__xludf.DUMMYFUNCTION("IFERROR(SPLIT(H285, "", "", FALSE, TRUE), )"),"All races")</f>
        <v>All races</v>
      </c>
      <c r="K285" s="5" t="str">
        <f>IFERROR(__xludf.DUMMYFUNCTION("""COMPUTED_VALUE"""),"male")</f>
        <v>male</v>
      </c>
      <c r="L285" s="5" t="str">
        <f>IFERROR(__xludf.DUMMYFUNCTION("""COMPUTED_VALUE"""),"15-24 years")</f>
        <v>15-24 years</v>
      </c>
    </row>
    <row r="286">
      <c r="A286" s="55" t="s">
        <v>89</v>
      </c>
      <c r="B286" s="49" t="s">
        <v>107</v>
      </c>
      <c r="G286" s="51" t="str">
        <f t="shared" si="1"/>
        <v>All races, male, 15-24 years</v>
      </c>
      <c r="H286" s="51" t="str">
        <f t="shared" si="2"/>
        <v/>
      </c>
      <c r="I286" s="52"/>
      <c r="J286" s="5" t="str">
        <f>IFERROR(__xludf.DUMMYFUNCTION("IFERROR(SPLIT(H286, "", "", FALSE, TRUE), )"),"")</f>
        <v/>
      </c>
    </row>
    <row r="287">
      <c r="A287" s="56"/>
      <c r="B287" s="3" t="s">
        <v>3</v>
      </c>
      <c r="C287" s="3" t="s">
        <v>4</v>
      </c>
      <c r="D287" s="3" t="s">
        <v>5</v>
      </c>
      <c r="E287" s="3" t="s">
        <v>6</v>
      </c>
      <c r="F287" s="3" t="s">
        <v>7</v>
      </c>
      <c r="G287" s="51" t="str">
        <f t="shared" si="1"/>
        <v>All races, male, 25-34 years</v>
      </c>
      <c r="H287" s="51" t="str">
        <f t="shared" si="2"/>
        <v/>
      </c>
      <c r="I287" s="52"/>
      <c r="J287" s="5" t="str">
        <f>IFERROR(__xludf.DUMMYFUNCTION("IFERROR(SPLIT(H287, "", "", FALSE, TRUE), )"),"")</f>
        <v/>
      </c>
    </row>
    <row r="288">
      <c r="A288" s="57"/>
      <c r="B288" s="7" t="s">
        <v>12</v>
      </c>
      <c r="C288" s="7" t="s">
        <v>13</v>
      </c>
      <c r="D288" s="53">
        <v>31462.0</v>
      </c>
      <c r="E288" s="11">
        <v>100.0</v>
      </c>
      <c r="F288" s="11">
        <v>145.4</v>
      </c>
      <c r="G288" s="51" t="str">
        <f t="shared" si="1"/>
        <v>All races, male, 25-34 years</v>
      </c>
      <c r="H288" s="51" t="str">
        <f t="shared" si="2"/>
        <v>All races, male, 25-34 years</v>
      </c>
      <c r="I288" s="52"/>
      <c r="J288" s="5" t="str">
        <f>IFERROR(__xludf.DUMMYFUNCTION("IFERROR(SPLIT(H288, "", "", FALSE, TRUE), )"),"All races")</f>
        <v>All races</v>
      </c>
      <c r="K288" s="5" t="str">
        <f>IFERROR(__xludf.DUMMYFUNCTION("""COMPUTED_VALUE"""),"male")</f>
        <v>male</v>
      </c>
      <c r="L288" s="5" t="str">
        <f>IFERROR(__xludf.DUMMYFUNCTION("""COMPUTED_VALUE"""),"25-34 years")</f>
        <v>25-34 years</v>
      </c>
    </row>
    <row r="289">
      <c r="A289" s="57"/>
      <c r="B289" s="11">
        <v>1.0</v>
      </c>
      <c r="C289" s="7" t="s">
        <v>19</v>
      </c>
      <c r="D289" s="53">
        <v>12025.0</v>
      </c>
      <c r="E289" s="11">
        <v>38.2</v>
      </c>
      <c r="F289" s="11">
        <v>55.6</v>
      </c>
      <c r="G289" s="51" t="str">
        <f t="shared" si="1"/>
        <v>All races, male, 25-34 years</v>
      </c>
      <c r="H289" s="51" t="str">
        <f t="shared" si="2"/>
        <v>All races, male, 25-34 years</v>
      </c>
      <c r="I289" s="52"/>
      <c r="J289" s="5" t="str">
        <f>IFERROR(__xludf.DUMMYFUNCTION("IFERROR(SPLIT(H289, "", "", FALSE, TRUE), )"),"All races")</f>
        <v>All races</v>
      </c>
      <c r="K289" s="5" t="str">
        <f>IFERROR(__xludf.DUMMYFUNCTION("""COMPUTED_VALUE"""),"male")</f>
        <v>male</v>
      </c>
      <c r="L289" s="5" t="str">
        <f>IFERROR(__xludf.DUMMYFUNCTION("""COMPUTED_VALUE"""),"25-34 years")</f>
        <v>25-34 years</v>
      </c>
    </row>
    <row r="290">
      <c r="A290" s="57"/>
      <c r="B290" s="11">
        <v>2.0</v>
      </c>
      <c r="C290" s="7" t="s">
        <v>25</v>
      </c>
      <c r="D290" s="53">
        <v>5063.0</v>
      </c>
      <c r="E290" s="11">
        <v>16.1</v>
      </c>
      <c r="F290" s="11">
        <v>23.4</v>
      </c>
      <c r="G290" s="51" t="str">
        <f t="shared" si="1"/>
        <v>All races, male, 25-34 years</v>
      </c>
      <c r="H290" s="51" t="str">
        <f t="shared" si="2"/>
        <v>All races, male, 25-34 years</v>
      </c>
      <c r="I290" s="52"/>
      <c r="J290" s="5" t="str">
        <f>IFERROR(__xludf.DUMMYFUNCTION("IFERROR(SPLIT(H290, "", "", FALSE, TRUE), )"),"All races")</f>
        <v>All races</v>
      </c>
      <c r="K290" s="5" t="str">
        <f>IFERROR(__xludf.DUMMYFUNCTION("""COMPUTED_VALUE"""),"male")</f>
        <v>male</v>
      </c>
      <c r="L290" s="5" t="str">
        <f>IFERROR(__xludf.DUMMYFUNCTION("""COMPUTED_VALUE"""),"25-34 years")</f>
        <v>25-34 years</v>
      </c>
    </row>
    <row r="291">
      <c r="A291" s="57"/>
      <c r="B291" s="11">
        <v>3.0</v>
      </c>
      <c r="C291" s="7" t="s">
        <v>34</v>
      </c>
      <c r="D291" s="53">
        <v>3555.0</v>
      </c>
      <c r="E291" s="11">
        <v>11.3</v>
      </c>
      <c r="F291" s="11">
        <v>16.4</v>
      </c>
      <c r="G291" s="51" t="str">
        <f t="shared" si="1"/>
        <v>All races, male, 25-34 years</v>
      </c>
      <c r="H291" s="51" t="str">
        <f t="shared" si="2"/>
        <v>All races, male, 25-34 years</v>
      </c>
      <c r="I291" s="52"/>
      <c r="J291" s="5" t="str">
        <f>IFERROR(__xludf.DUMMYFUNCTION("IFERROR(SPLIT(H291, "", "", FALSE, TRUE), )"),"All races")</f>
        <v>All races</v>
      </c>
      <c r="K291" s="5" t="str">
        <f>IFERROR(__xludf.DUMMYFUNCTION("""COMPUTED_VALUE"""),"male")</f>
        <v>male</v>
      </c>
      <c r="L291" s="5" t="str">
        <f>IFERROR(__xludf.DUMMYFUNCTION("""COMPUTED_VALUE"""),"25-34 years")</f>
        <v>25-34 years</v>
      </c>
    </row>
    <row r="292">
      <c r="A292" s="57"/>
      <c r="B292" s="11">
        <v>4.0</v>
      </c>
      <c r="C292" s="7" t="s">
        <v>16</v>
      </c>
      <c r="D292" s="53">
        <v>2214.0</v>
      </c>
      <c r="E292" s="11">
        <v>7.0</v>
      </c>
      <c r="F292" s="11">
        <v>10.2</v>
      </c>
      <c r="G292" s="51" t="str">
        <f t="shared" si="1"/>
        <v>All races, male, 25-34 years</v>
      </c>
      <c r="H292" s="51" t="str">
        <f t="shared" si="2"/>
        <v>All races, male, 25-34 years</v>
      </c>
      <c r="I292" s="52"/>
      <c r="J292" s="5" t="str">
        <f>IFERROR(__xludf.DUMMYFUNCTION("IFERROR(SPLIT(H292, "", "", FALSE, TRUE), )"),"All races")</f>
        <v>All races</v>
      </c>
      <c r="K292" s="5" t="str">
        <f>IFERROR(__xludf.DUMMYFUNCTION("""COMPUTED_VALUE"""),"male")</f>
        <v>male</v>
      </c>
      <c r="L292" s="5" t="str">
        <f>IFERROR(__xludf.DUMMYFUNCTION("""COMPUTED_VALUE"""),"25-34 years")</f>
        <v>25-34 years</v>
      </c>
    </row>
    <row r="293">
      <c r="A293" s="57"/>
      <c r="B293" s="11">
        <v>5.0</v>
      </c>
      <c r="C293" s="7" t="s">
        <v>17</v>
      </c>
      <c r="D293" s="53">
        <v>1857.0</v>
      </c>
      <c r="E293" s="11">
        <v>5.9</v>
      </c>
      <c r="F293" s="11">
        <v>8.6</v>
      </c>
      <c r="G293" s="51" t="str">
        <f t="shared" si="1"/>
        <v>All races, male, 25-34 years</v>
      </c>
      <c r="H293" s="51" t="str">
        <f t="shared" si="2"/>
        <v>All races, male, 25-34 years</v>
      </c>
      <c r="I293" s="52"/>
      <c r="J293" s="5" t="str">
        <f>IFERROR(__xludf.DUMMYFUNCTION("IFERROR(SPLIT(H293, "", "", FALSE, TRUE), )"),"All races")</f>
        <v>All races</v>
      </c>
      <c r="K293" s="5" t="str">
        <f>IFERROR(__xludf.DUMMYFUNCTION("""COMPUTED_VALUE"""),"male")</f>
        <v>male</v>
      </c>
      <c r="L293" s="5" t="str">
        <f>IFERROR(__xludf.DUMMYFUNCTION("""COMPUTED_VALUE"""),"25-34 years")</f>
        <v>25-34 years</v>
      </c>
    </row>
    <row r="294">
      <c r="A294" s="57"/>
      <c r="B294" s="11">
        <v>6.0</v>
      </c>
      <c r="C294" s="7" t="s">
        <v>44</v>
      </c>
      <c r="D294" s="11">
        <v>457.0</v>
      </c>
      <c r="E294" s="11">
        <v>1.5</v>
      </c>
      <c r="F294" s="11">
        <v>2.1</v>
      </c>
      <c r="G294" s="51" t="str">
        <f t="shared" si="1"/>
        <v>All races, male, 25-34 years</v>
      </c>
      <c r="H294" s="51" t="str">
        <f t="shared" si="2"/>
        <v>All races, male, 25-34 years</v>
      </c>
      <c r="I294" s="52"/>
      <c r="J294" s="5" t="str">
        <f>IFERROR(__xludf.DUMMYFUNCTION("IFERROR(SPLIT(H294, "", "", FALSE, TRUE), )"),"All races")</f>
        <v>All races</v>
      </c>
      <c r="K294" s="5" t="str">
        <f>IFERROR(__xludf.DUMMYFUNCTION("""COMPUTED_VALUE"""),"male")</f>
        <v>male</v>
      </c>
      <c r="L294" s="5" t="str">
        <f>IFERROR(__xludf.DUMMYFUNCTION("""COMPUTED_VALUE"""),"25-34 years")</f>
        <v>25-34 years</v>
      </c>
    </row>
    <row r="295">
      <c r="A295" s="57"/>
      <c r="B295" s="11">
        <v>7.0</v>
      </c>
      <c r="C295" s="7" t="s">
        <v>27</v>
      </c>
      <c r="D295" s="11">
        <v>435.0</v>
      </c>
      <c r="E295" s="11">
        <v>1.4</v>
      </c>
      <c r="F295" s="11">
        <v>2.0</v>
      </c>
      <c r="G295" s="51" t="str">
        <f t="shared" si="1"/>
        <v>All races, male, 25-34 years</v>
      </c>
      <c r="H295" s="51" t="str">
        <f t="shared" si="2"/>
        <v>All races, male, 25-34 years</v>
      </c>
      <c r="I295" s="52"/>
      <c r="J295" s="5" t="str">
        <f>IFERROR(__xludf.DUMMYFUNCTION("IFERROR(SPLIT(H295, "", "", FALSE, TRUE), )"),"All races")</f>
        <v>All races</v>
      </c>
      <c r="K295" s="5" t="str">
        <f>IFERROR(__xludf.DUMMYFUNCTION("""COMPUTED_VALUE"""),"male")</f>
        <v>male</v>
      </c>
      <c r="L295" s="5" t="str">
        <f>IFERROR(__xludf.DUMMYFUNCTION("""COMPUTED_VALUE"""),"25-34 years")</f>
        <v>25-34 years</v>
      </c>
    </row>
    <row r="296">
      <c r="A296" s="57"/>
      <c r="B296" s="11">
        <v>8.0</v>
      </c>
      <c r="C296" s="7" t="s">
        <v>22</v>
      </c>
      <c r="D296" s="11">
        <v>403.0</v>
      </c>
      <c r="E296" s="11">
        <v>1.3</v>
      </c>
      <c r="F296" s="11">
        <v>1.9</v>
      </c>
      <c r="G296" s="51" t="str">
        <f t="shared" si="1"/>
        <v>All races, male, 25-34 years</v>
      </c>
      <c r="H296" s="51" t="str">
        <f t="shared" si="2"/>
        <v>All races, male, 25-34 years</v>
      </c>
      <c r="I296" s="52"/>
      <c r="J296" s="5" t="str">
        <f>IFERROR(__xludf.DUMMYFUNCTION("IFERROR(SPLIT(H296, "", "", FALSE, TRUE), )"),"All races")</f>
        <v>All races</v>
      </c>
      <c r="K296" s="5" t="str">
        <f>IFERROR(__xludf.DUMMYFUNCTION("""COMPUTED_VALUE"""),"male")</f>
        <v>male</v>
      </c>
      <c r="L296" s="5" t="str">
        <f>IFERROR(__xludf.DUMMYFUNCTION("""COMPUTED_VALUE"""),"25-34 years")</f>
        <v>25-34 years</v>
      </c>
    </row>
    <row r="297">
      <c r="A297" s="57"/>
      <c r="B297" s="11">
        <v>9.0</v>
      </c>
      <c r="C297" s="7" t="s">
        <v>20</v>
      </c>
      <c r="D297" s="11">
        <v>279.0</v>
      </c>
      <c r="E297" s="11">
        <v>0.9</v>
      </c>
      <c r="F297" s="11">
        <v>1.3</v>
      </c>
      <c r="G297" s="51" t="str">
        <f t="shared" si="1"/>
        <v>All races, male, 25-34 years</v>
      </c>
      <c r="H297" s="51" t="str">
        <f t="shared" si="2"/>
        <v>All races, male, 25-34 years</v>
      </c>
      <c r="I297" s="52"/>
      <c r="J297" s="5" t="str">
        <f>IFERROR(__xludf.DUMMYFUNCTION("IFERROR(SPLIT(H297, "", "", FALSE, TRUE), )"),"All races")</f>
        <v>All races</v>
      </c>
      <c r="K297" s="5" t="str">
        <f>IFERROR(__xludf.DUMMYFUNCTION("""COMPUTED_VALUE"""),"male")</f>
        <v>male</v>
      </c>
      <c r="L297" s="5" t="str">
        <f>IFERROR(__xludf.DUMMYFUNCTION("""COMPUTED_VALUE"""),"25-34 years")</f>
        <v>25-34 years</v>
      </c>
    </row>
    <row r="298">
      <c r="A298" s="57"/>
      <c r="B298" s="11">
        <v>10.0</v>
      </c>
      <c r="C298" s="7" t="s">
        <v>23</v>
      </c>
      <c r="D298" s="11">
        <v>253.0</v>
      </c>
      <c r="E298" s="11">
        <v>0.8</v>
      </c>
      <c r="F298" s="11">
        <v>1.2</v>
      </c>
      <c r="G298" s="51" t="str">
        <f t="shared" si="1"/>
        <v>All races, male, 25-34 years</v>
      </c>
      <c r="H298" s="51" t="str">
        <f t="shared" si="2"/>
        <v>All races, male, 25-34 years</v>
      </c>
      <c r="I298" s="52"/>
      <c r="J298" s="5" t="str">
        <f>IFERROR(__xludf.DUMMYFUNCTION("IFERROR(SPLIT(H298, "", "", FALSE, TRUE), )"),"All races")</f>
        <v>All races</v>
      </c>
      <c r="K298" s="5" t="str">
        <f>IFERROR(__xludf.DUMMYFUNCTION("""COMPUTED_VALUE"""),"male")</f>
        <v>male</v>
      </c>
      <c r="L298" s="5" t="str">
        <f>IFERROR(__xludf.DUMMYFUNCTION("""COMPUTED_VALUE"""),"25-34 years")</f>
        <v>25-34 years</v>
      </c>
    </row>
    <row r="299">
      <c r="A299" s="57"/>
      <c r="B299" s="11">
        <v>11.0</v>
      </c>
      <c r="C299" s="7" t="s">
        <v>33</v>
      </c>
      <c r="D299" s="11">
        <v>240.0</v>
      </c>
      <c r="E299" s="11">
        <v>0.8</v>
      </c>
      <c r="F299" s="11">
        <v>1.1</v>
      </c>
      <c r="G299" s="51" t="str">
        <f t="shared" si="1"/>
        <v>All races, male, 25-34 years</v>
      </c>
      <c r="H299" s="51" t="str">
        <f t="shared" si="2"/>
        <v>All races, male, 25-34 years</v>
      </c>
      <c r="I299" s="52"/>
      <c r="J299" s="5" t="str">
        <f>IFERROR(__xludf.DUMMYFUNCTION("IFERROR(SPLIT(H299, "", "", FALSE, TRUE), )"),"All races")</f>
        <v>All races</v>
      </c>
      <c r="K299" s="5" t="str">
        <f>IFERROR(__xludf.DUMMYFUNCTION("""COMPUTED_VALUE"""),"male")</f>
        <v>male</v>
      </c>
      <c r="L299" s="5" t="str">
        <f>IFERROR(__xludf.DUMMYFUNCTION("""COMPUTED_VALUE"""),"25-34 years")</f>
        <v>25-34 years</v>
      </c>
    </row>
    <row r="300">
      <c r="A300" s="57"/>
      <c r="B300" s="11">
        <v>12.0</v>
      </c>
      <c r="C300" s="7" t="s">
        <v>26</v>
      </c>
      <c r="D300" s="11">
        <v>178.0</v>
      </c>
      <c r="E300" s="11">
        <v>0.6</v>
      </c>
      <c r="F300" s="11">
        <v>0.8</v>
      </c>
      <c r="G300" s="51" t="str">
        <f t="shared" si="1"/>
        <v>All races, male, 25-34 years</v>
      </c>
      <c r="H300" s="51" t="str">
        <f t="shared" si="2"/>
        <v>All races, male, 25-34 years</v>
      </c>
      <c r="I300" s="52"/>
      <c r="J300" s="5" t="str">
        <f>IFERROR(__xludf.DUMMYFUNCTION("IFERROR(SPLIT(H300, "", "", FALSE, TRUE), )"),"All races")</f>
        <v>All races</v>
      </c>
      <c r="K300" s="5" t="str">
        <f>IFERROR(__xludf.DUMMYFUNCTION("""COMPUTED_VALUE"""),"male")</f>
        <v>male</v>
      </c>
      <c r="L300" s="5" t="str">
        <f>IFERROR(__xludf.DUMMYFUNCTION("""COMPUTED_VALUE"""),"25-34 years")</f>
        <v>25-34 years</v>
      </c>
    </row>
    <row r="301">
      <c r="A301" s="57"/>
      <c r="B301" s="11">
        <v>13.0</v>
      </c>
      <c r="C301" s="7" t="s">
        <v>18</v>
      </c>
      <c r="D301" s="11">
        <v>160.0</v>
      </c>
      <c r="E301" s="11">
        <v>0.5</v>
      </c>
      <c r="F301" s="11">
        <v>0.7</v>
      </c>
      <c r="G301" s="51" t="str">
        <f t="shared" si="1"/>
        <v>All races, male, 25-34 years</v>
      </c>
      <c r="H301" s="51" t="str">
        <f t="shared" si="2"/>
        <v>All races, male, 25-34 years</v>
      </c>
      <c r="I301" s="52"/>
      <c r="J301" s="5" t="str">
        <f>IFERROR(__xludf.DUMMYFUNCTION("IFERROR(SPLIT(H301, "", "", FALSE, TRUE), )"),"All races")</f>
        <v>All races</v>
      </c>
      <c r="K301" s="5" t="str">
        <f>IFERROR(__xludf.DUMMYFUNCTION("""COMPUTED_VALUE"""),"male")</f>
        <v>male</v>
      </c>
      <c r="L301" s="5" t="str">
        <f>IFERROR(__xludf.DUMMYFUNCTION("""COMPUTED_VALUE"""),"25-34 years")</f>
        <v>25-34 years</v>
      </c>
    </row>
    <row r="302">
      <c r="A302" s="57"/>
      <c r="B302" s="11">
        <v>14.0</v>
      </c>
      <c r="C302" s="7" t="s">
        <v>45</v>
      </c>
      <c r="D302" s="11">
        <v>141.0</v>
      </c>
      <c r="E302" s="11">
        <v>0.4</v>
      </c>
      <c r="F302" s="11">
        <v>0.7</v>
      </c>
      <c r="G302" s="51" t="str">
        <f t="shared" si="1"/>
        <v>All races, male, 25-34 years</v>
      </c>
      <c r="H302" s="51" t="str">
        <f t="shared" si="2"/>
        <v>All races, male, 25-34 years</v>
      </c>
      <c r="I302" s="52"/>
      <c r="J302" s="5" t="str">
        <f>IFERROR(__xludf.DUMMYFUNCTION("IFERROR(SPLIT(H302, "", "", FALSE, TRUE), )"),"All races")</f>
        <v>All races</v>
      </c>
      <c r="K302" s="5" t="str">
        <f>IFERROR(__xludf.DUMMYFUNCTION("""COMPUTED_VALUE"""),"male")</f>
        <v>male</v>
      </c>
      <c r="L302" s="5" t="str">
        <f>IFERROR(__xludf.DUMMYFUNCTION("""COMPUTED_VALUE"""),"25-34 years")</f>
        <v>25-34 years</v>
      </c>
    </row>
    <row r="303">
      <c r="A303" s="57"/>
      <c r="B303" s="11">
        <v>15.0</v>
      </c>
      <c r="C303" s="7" t="s">
        <v>24</v>
      </c>
      <c r="D303" s="11">
        <v>140.0</v>
      </c>
      <c r="E303" s="11">
        <v>0.4</v>
      </c>
      <c r="F303" s="11">
        <v>0.6</v>
      </c>
      <c r="G303" s="51" t="str">
        <f t="shared" si="1"/>
        <v>All races, male, 25-34 years</v>
      </c>
      <c r="H303" s="51" t="str">
        <f t="shared" si="2"/>
        <v>All races, male, 25-34 years</v>
      </c>
      <c r="I303" s="52"/>
      <c r="J303" s="5" t="str">
        <f>IFERROR(__xludf.DUMMYFUNCTION("IFERROR(SPLIT(H303, "", "", FALSE, TRUE), )"),"All races")</f>
        <v>All races</v>
      </c>
      <c r="K303" s="5" t="str">
        <f>IFERROR(__xludf.DUMMYFUNCTION("""COMPUTED_VALUE"""),"male")</f>
        <v>male</v>
      </c>
      <c r="L303" s="5" t="str">
        <f>IFERROR(__xludf.DUMMYFUNCTION("""COMPUTED_VALUE"""),"25-34 years")</f>
        <v>25-34 years</v>
      </c>
    </row>
    <row r="304">
      <c r="A304" s="57"/>
      <c r="B304" s="7" t="s">
        <v>12</v>
      </c>
      <c r="C304" s="7" t="s">
        <v>31</v>
      </c>
      <c r="D304" s="53">
        <v>4062.0</v>
      </c>
      <c r="E304" s="11">
        <v>12.9</v>
      </c>
      <c r="F304" s="11">
        <v>18.8</v>
      </c>
      <c r="G304" s="51" t="str">
        <f t="shared" si="1"/>
        <v>All races, male, 25-34 years</v>
      </c>
      <c r="H304" s="51" t="str">
        <f t="shared" si="2"/>
        <v>All races, male, 25-34 years</v>
      </c>
      <c r="I304" s="52"/>
      <c r="J304" s="5" t="str">
        <f>IFERROR(__xludf.DUMMYFUNCTION("IFERROR(SPLIT(H304, "", "", FALSE, TRUE), )"),"All races")</f>
        <v>All races</v>
      </c>
      <c r="K304" s="5" t="str">
        <f>IFERROR(__xludf.DUMMYFUNCTION("""COMPUTED_VALUE"""),"male")</f>
        <v>male</v>
      </c>
      <c r="L304" s="5" t="str">
        <f>IFERROR(__xludf.DUMMYFUNCTION("""COMPUTED_VALUE"""),"25-34 years")</f>
        <v>25-34 years</v>
      </c>
    </row>
    <row r="305">
      <c r="A305" s="55" t="s">
        <v>89</v>
      </c>
      <c r="B305" s="49" t="s">
        <v>108</v>
      </c>
      <c r="G305" s="51" t="str">
        <f t="shared" si="1"/>
        <v>All races, male, 25-34 years</v>
      </c>
      <c r="H305" s="51" t="str">
        <f t="shared" si="2"/>
        <v/>
      </c>
      <c r="I305" s="52"/>
      <c r="J305" s="5" t="str">
        <f>IFERROR(__xludf.DUMMYFUNCTION("IFERROR(SPLIT(H305, "", "", FALSE, TRUE), )"),"")</f>
        <v/>
      </c>
    </row>
    <row r="306">
      <c r="A306" s="56"/>
      <c r="B306" s="3" t="s">
        <v>3</v>
      </c>
      <c r="C306" s="3" t="s">
        <v>4</v>
      </c>
      <c r="D306" s="3" t="s">
        <v>5</v>
      </c>
      <c r="E306" s="3" t="s">
        <v>6</v>
      </c>
      <c r="F306" s="3" t="s">
        <v>7</v>
      </c>
      <c r="G306" s="51" t="str">
        <f t="shared" si="1"/>
        <v>All races, male, 35-44 years</v>
      </c>
      <c r="H306" s="51" t="str">
        <f t="shared" si="2"/>
        <v/>
      </c>
      <c r="I306" s="52"/>
      <c r="J306" s="5" t="str">
        <f>IFERROR(__xludf.DUMMYFUNCTION("IFERROR(SPLIT(H306, "", "", FALSE, TRUE), )"),"")</f>
        <v/>
      </c>
    </row>
    <row r="307">
      <c r="A307" s="57"/>
      <c r="B307" s="7" t="s">
        <v>12</v>
      </c>
      <c r="C307" s="7" t="s">
        <v>13</v>
      </c>
      <c r="D307" s="53">
        <v>43072.0</v>
      </c>
      <c r="E307" s="11">
        <v>100.0</v>
      </c>
      <c r="F307" s="11">
        <v>213.8</v>
      </c>
      <c r="G307" s="51" t="str">
        <f t="shared" si="1"/>
        <v>All races, male, 35-44 years</v>
      </c>
      <c r="H307" s="51" t="str">
        <f t="shared" si="2"/>
        <v>All races, male, 35-44 years</v>
      </c>
      <c r="I307" s="52"/>
      <c r="J307" s="5" t="str">
        <f>IFERROR(__xludf.DUMMYFUNCTION("IFERROR(SPLIT(H307, "", "", FALSE, TRUE), )"),"All races")</f>
        <v>All races</v>
      </c>
      <c r="K307" s="5" t="str">
        <f>IFERROR(__xludf.DUMMYFUNCTION("""COMPUTED_VALUE"""),"male")</f>
        <v>male</v>
      </c>
      <c r="L307" s="5" t="str">
        <f>IFERROR(__xludf.DUMMYFUNCTION("""COMPUTED_VALUE"""),"35-44 years")</f>
        <v>35-44 years</v>
      </c>
    </row>
    <row r="308">
      <c r="A308" s="57"/>
      <c r="B308" s="11">
        <v>1.0</v>
      </c>
      <c r="C308" s="7" t="s">
        <v>19</v>
      </c>
      <c r="D308" s="53">
        <v>10566.0</v>
      </c>
      <c r="E308" s="11">
        <v>24.5</v>
      </c>
      <c r="F308" s="11">
        <v>52.4</v>
      </c>
      <c r="G308" s="51" t="str">
        <f t="shared" si="1"/>
        <v>All races, male, 35-44 years</v>
      </c>
      <c r="H308" s="51" t="str">
        <f t="shared" si="2"/>
        <v>All races, male, 35-44 years</v>
      </c>
      <c r="I308" s="52"/>
      <c r="J308" s="5" t="str">
        <f>IFERROR(__xludf.DUMMYFUNCTION("IFERROR(SPLIT(H308, "", "", FALSE, TRUE), )"),"All races")</f>
        <v>All races</v>
      </c>
      <c r="K308" s="5" t="str">
        <f>IFERROR(__xludf.DUMMYFUNCTION("""COMPUTED_VALUE"""),"male")</f>
        <v>male</v>
      </c>
      <c r="L308" s="5" t="str">
        <f>IFERROR(__xludf.DUMMYFUNCTION("""COMPUTED_VALUE"""),"35-44 years")</f>
        <v>35-44 years</v>
      </c>
    </row>
    <row r="309">
      <c r="A309" s="57"/>
      <c r="B309" s="11">
        <v>2.0</v>
      </c>
      <c r="C309" s="7" t="s">
        <v>16</v>
      </c>
      <c r="D309" s="53">
        <v>7152.0</v>
      </c>
      <c r="E309" s="11">
        <v>16.6</v>
      </c>
      <c r="F309" s="11">
        <v>35.5</v>
      </c>
      <c r="G309" s="51" t="str">
        <f t="shared" si="1"/>
        <v>All races, male, 35-44 years</v>
      </c>
      <c r="H309" s="51" t="str">
        <f t="shared" si="2"/>
        <v>All races, male, 35-44 years</v>
      </c>
      <c r="I309" s="52"/>
      <c r="J309" s="5" t="str">
        <f>IFERROR(__xludf.DUMMYFUNCTION("IFERROR(SPLIT(H309, "", "", FALSE, TRUE), )"),"All races")</f>
        <v>All races</v>
      </c>
      <c r="K309" s="5" t="str">
        <f>IFERROR(__xludf.DUMMYFUNCTION("""COMPUTED_VALUE"""),"male")</f>
        <v>male</v>
      </c>
      <c r="L309" s="5" t="str">
        <f>IFERROR(__xludf.DUMMYFUNCTION("""COMPUTED_VALUE"""),"35-44 years")</f>
        <v>35-44 years</v>
      </c>
    </row>
    <row r="310">
      <c r="A310" s="57"/>
      <c r="B310" s="11">
        <v>3.0</v>
      </c>
      <c r="C310" s="7" t="s">
        <v>25</v>
      </c>
      <c r="D310" s="53">
        <v>5003.0</v>
      </c>
      <c r="E310" s="11">
        <v>11.6</v>
      </c>
      <c r="F310" s="11">
        <v>24.8</v>
      </c>
      <c r="G310" s="51" t="str">
        <f t="shared" si="1"/>
        <v>All races, male, 35-44 years</v>
      </c>
      <c r="H310" s="51" t="str">
        <f t="shared" si="2"/>
        <v>All races, male, 35-44 years</v>
      </c>
      <c r="I310" s="52"/>
      <c r="J310" s="5" t="str">
        <f>IFERROR(__xludf.DUMMYFUNCTION("IFERROR(SPLIT(H310, "", "", FALSE, TRUE), )"),"All races")</f>
        <v>All races</v>
      </c>
      <c r="K310" s="5" t="str">
        <f>IFERROR(__xludf.DUMMYFUNCTION("""COMPUTED_VALUE"""),"male")</f>
        <v>male</v>
      </c>
      <c r="L310" s="5" t="str">
        <f>IFERROR(__xludf.DUMMYFUNCTION("""COMPUTED_VALUE"""),"35-44 years")</f>
        <v>35-44 years</v>
      </c>
    </row>
    <row r="311">
      <c r="A311" s="57"/>
      <c r="B311" s="11">
        <v>4.0</v>
      </c>
      <c r="C311" s="7" t="s">
        <v>17</v>
      </c>
      <c r="D311" s="53">
        <v>4827.0</v>
      </c>
      <c r="E311" s="11">
        <v>11.2</v>
      </c>
      <c r="F311" s="11">
        <v>24.0</v>
      </c>
      <c r="G311" s="51" t="str">
        <f t="shared" si="1"/>
        <v>All races, male, 35-44 years</v>
      </c>
      <c r="H311" s="51" t="str">
        <f t="shared" si="2"/>
        <v>All races, male, 35-44 years</v>
      </c>
      <c r="I311" s="52"/>
      <c r="J311" s="5" t="str">
        <f>IFERROR(__xludf.DUMMYFUNCTION("IFERROR(SPLIT(H311, "", "", FALSE, TRUE), )"),"All races")</f>
        <v>All races</v>
      </c>
      <c r="K311" s="5" t="str">
        <f>IFERROR(__xludf.DUMMYFUNCTION("""COMPUTED_VALUE"""),"male")</f>
        <v>male</v>
      </c>
      <c r="L311" s="5" t="str">
        <f>IFERROR(__xludf.DUMMYFUNCTION("""COMPUTED_VALUE"""),"35-44 years")</f>
        <v>35-44 years</v>
      </c>
    </row>
    <row r="312">
      <c r="A312" s="57"/>
      <c r="B312" s="11">
        <v>5.0</v>
      </c>
      <c r="C312" s="7" t="s">
        <v>34</v>
      </c>
      <c r="D312" s="53">
        <v>2025.0</v>
      </c>
      <c r="E312" s="11">
        <v>4.7</v>
      </c>
      <c r="F312" s="11">
        <v>10.1</v>
      </c>
      <c r="G312" s="51" t="str">
        <f t="shared" si="1"/>
        <v>All races, male, 35-44 years</v>
      </c>
      <c r="H312" s="51" t="str">
        <f t="shared" si="2"/>
        <v>All races, male, 35-44 years</v>
      </c>
      <c r="I312" s="52"/>
      <c r="J312" s="5" t="str">
        <f>IFERROR(__xludf.DUMMYFUNCTION("IFERROR(SPLIT(H312, "", "", FALSE, TRUE), )"),"All races")</f>
        <v>All races</v>
      </c>
      <c r="K312" s="5" t="str">
        <f>IFERROR(__xludf.DUMMYFUNCTION("""COMPUTED_VALUE"""),"male")</f>
        <v>male</v>
      </c>
      <c r="L312" s="5" t="str">
        <f>IFERROR(__xludf.DUMMYFUNCTION("""COMPUTED_VALUE"""),"35-44 years")</f>
        <v>35-44 years</v>
      </c>
    </row>
    <row r="313">
      <c r="A313" s="57"/>
      <c r="B313" s="11">
        <v>6.0</v>
      </c>
      <c r="C313" s="7" t="s">
        <v>27</v>
      </c>
      <c r="D313" s="53">
        <v>1620.0</v>
      </c>
      <c r="E313" s="11">
        <v>3.8</v>
      </c>
      <c r="F313" s="11">
        <v>8.0</v>
      </c>
      <c r="G313" s="51" t="str">
        <f t="shared" si="1"/>
        <v>All races, male, 35-44 years</v>
      </c>
      <c r="H313" s="51" t="str">
        <f t="shared" si="2"/>
        <v>All races, male, 35-44 years</v>
      </c>
      <c r="I313" s="52"/>
      <c r="J313" s="5" t="str">
        <f>IFERROR(__xludf.DUMMYFUNCTION("IFERROR(SPLIT(H313, "", "", FALSE, TRUE), )"),"All races")</f>
        <v>All races</v>
      </c>
      <c r="K313" s="5" t="str">
        <f>IFERROR(__xludf.DUMMYFUNCTION("""COMPUTED_VALUE"""),"male")</f>
        <v>male</v>
      </c>
      <c r="L313" s="5" t="str">
        <f>IFERROR(__xludf.DUMMYFUNCTION("""COMPUTED_VALUE"""),"35-44 years")</f>
        <v>35-44 years</v>
      </c>
    </row>
    <row r="314">
      <c r="A314" s="57"/>
      <c r="B314" s="11">
        <v>7.0</v>
      </c>
      <c r="C314" s="7" t="s">
        <v>22</v>
      </c>
      <c r="D314" s="53">
        <v>1211.0</v>
      </c>
      <c r="E314" s="11">
        <v>2.8</v>
      </c>
      <c r="F314" s="11">
        <v>6.0</v>
      </c>
      <c r="G314" s="51" t="str">
        <f t="shared" si="1"/>
        <v>All races, male, 35-44 years</v>
      </c>
      <c r="H314" s="51" t="str">
        <f t="shared" si="2"/>
        <v>All races, male, 35-44 years</v>
      </c>
      <c r="I314" s="52"/>
      <c r="J314" s="5" t="str">
        <f>IFERROR(__xludf.DUMMYFUNCTION("IFERROR(SPLIT(H314, "", "", FALSE, TRUE), )"),"All races")</f>
        <v>All races</v>
      </c>
      <c r="K314" s="5" t="str">
        <f>IFERROR(__xludf.DUMMYFUNCTION("""COMPUTED_VALUE"""),"male")</f>
        <v>male</v>
      </c>
      <c r="L314" s="5" t="str">
        <f>IFERROR(__xludf.DUMMYFUNCTION("""COMPUTED_VALUE"""),"35-44 years")</f>
        <v>35-44 years</v>
      </c>
    </row>
    <row r="315">
      <c r="A315" s="57"/>
      <c r="B315" s="11">
        <v>8.0</v>
      </c>
      <c r="C315" s="7" t="s">
        <v>20</v>
      </c>
      <c r="D315" s="11">
        <v>938.0</v>
      </c>
      <c r="E315" s="11">
        <v>2.2</v>
      </c>
      <c r="F315" s="11">
        <v>4.7</v>
      </c>
      <c r="G315" s="51" t="str">
        <f t="shared" si="1"/>
        <v>All races, male, 35-44 years</v>
      </c>
      <c r="H315" s="51" t="str">
        <f t="shared" si="2"/>
        <v>All races, male, 35-44 years</v>
      </c>
      <c r="I315" s="52"/>
      <c r="J315" s="5" t="str">
        <f>IFERROR(__xludf.DUMMYFUNCTION("IFERROR(SPLIT(H315, "", "", FALSE, TRUE), )"),"All races")</f>
        <v>All races</v>
      </c>
      <c r="K315" s="5" t="str">
        <f>IFERROR(__xludf.DUMMYFUNCTION("""COMPUTED_VALUE"""),"male")</f>
        <v>male</v>
      </c>
      <c r="L315" s="5" t="str">
        <f>IFERROR(__xludf.DUMMYFUNCTION("""COMPUTED_VALUE"""),"35-44 years")</f>
        <v>35-44 years</v>
      </c>
    </row>
    <row r="316">
      <c r="A316" s="57"/>
      <c r="B316" s="11">
        <v>9.0</v>
      </c>
      <c r="C316" s="7" t="s">
        <v>44</v>
      </c>
      <c r="D316" s="11">
        <v>842.0</v>
      </c>
      <c r="E316" s="11">
        <v>2.0</v>
      </c>
      <c r="F316" s="11">
        <v>4.2</v>
      </c>
      <c r="G316" s="51" t="str">
        <f t="shared" si="1"/>
        <v>All races, male, 35-44 years</v>
      </c>
      <c r="H316" s="51" t="str">
        <f t="shared" si="2"/>
        <v>All races, male, 35-44 years</v>
      </c>
      <c r="I316" s="52"/>
      <c r="J316" s="5" t="str">
        <f>IFERROR(__xludf.DUMMYFUNCTION("IFERROR(SPLIT(H316, "", "", FALSE, TRUE), )"),"All races")</f>
        <v>All races</v>
      </c>
      <c r="K316" s="5" t="str">
        <f>IFERROR(__xludf.DUMMYFUNCTION("""COMPUTED_VALUE"""),"male")</f>
        <v>male</v>
      </c>
      <c r="L316" s="5" t="str">
        <f>IFERROR(__xludf.DUMMYFUNCTION("""COMPUTED_VALUE"""),"35-44 years")</f>
        <v>35-44 years</v>
      </c>
    </row>
    <row r="317">
      <c r="A317" s="57"/>
      <c r="B317" s="11">
        <v>10.0</v>
      </c>
      <c r="C317" s="7" t="s">
        <v>23</v>
      </c>
      <c r="D317" s="11">
        <v>464.0</v>
      </c>
      <c r="E317" s="11">
        <v>1.1</v>
      </c>
      <c r="F317" s="11">
        <v>2.3</v>
      </c>
      <c r="G317" s="51" t="str">
        <f t="shared" si="1"/>
        <v>All races, male, 35-44 years</v>
      </c>
      <c r="H317" s="51" t="str">
        <f t="shared" si="2"/>
        <v>All races, male, 35-44 years</v>
      </c>
      <c r="I317" s="52"/>
      <c r="J317" s="5" t="str">
        <f>IFERROR(__xludf.DUMMYFUNCTION("IFERROR(SPLIT(H317, "", "", FALSE, TRUE), )"),"All races")</f>
        <v>All races</v>
      </c>
      <c r="K317" s="5" t="str">
        <f>IFERROR(__xludf.DUMMYFUNCTION("""COMPUTED_VALUE"""),"male")</f>
        <v>male</v>
      </c>
      <c r="L317" s="5" t="str">
        <f>IFERROR(__xludf.DUMMYFUNCTION("""COMPUTED_VALUE"""),"35-44 years")</f>
        <v>35-44 years</v>
      </c>
    </row>
    <row r="318">
      <c r="A318" s="57"/>
      <c r="B318" s="11">
        <v>11.0</v>
      </c>
      <c r="C318" s="7" t="s">
        <v>26</v>
      </c>
      <c r="D318" s="11">
        <v>397.0</v>
      </c>
      <c r="E318" s="11">
        <v>0.9</v>
      </c>
      <c r="F318" s="11">
        <v>2.0</v>
      </c>
      <c r="G318" s="51" t="str">
        <f t="shared" si="1"/>
        <v>All races, male, 35-44 years</v>
      </c>
      <c r="H318" s="51" t="str">
        <f t="shared" si="2"/>
        <v>All races, male, 35-44 years</v>
      </c>
      <c r="I318" s="52"/>
      <c r="J318" s="5" t="str">
        <f>IFERROR(__xludf.DUMMYFUNCTION("IFERROR(SPLIT(H318, "", "", FALSE, TRUE), )"),"All races")</f>
        <v>All races</v>
      </c>
      <c r="K318" s="5" t="str">
        <f>IFERROR(__xludf.DUMMYFUNCTION("""COMPUTED_VALUE"""),"male")</f>
        <v>male</v>
      </c>
      <c r="L318" s="5" t="str">
        <f>IFERROR(__xludf.DUMMYFUNCTION("""COMPUTED_VALUE"""),"35-44 years")</f>
        <v>35-44 years</v>
      </c>
    </row>
    <row r="319">
      <c r="A319" s="57"/>
      <c r="B319" s="11">
        <v>12.0</v>
      </c>
      <c r="C319" s="7" t="s">
        <v>18</v>
      </c>
      <c r="D319" s="11">
        <v>365.0</v>
      </c>
      <c r="E319" s="11">
        <v>0.8</v>
      </c>
      <c r="F319" s="11">
        <v>1.8</v>
      </c>
      <c r="G319" s="51" t="str">
        <f t="shared" si="1"/>
        <v>All races, male, 35-44 years</v>
      </c>
      <c r="H319" s="51" t="str">
        <f t="shared" si="2"/>
        <v>All races, male, 35-44 years</v>
      </c>
      <c r="I319" s="52"/>
      <c r="J319" s="5" t="str">
        <f>IFERROR(__xludf.DUMMYFUNCTION("IFERROR(SPLIT(H319, "", "", FALSE, TRUE), )"),"All races")</f>
        <v>All races</v>
      </c>
      <c r="K319" s="5" t="str">
        <f>IFERROR(__xludf.DUMMYFUNCTION("""COMPUTED_VALUE"""),"male")</f>
        <v>male</v>
      </c>
      <c r="L319" s="5" t="str">
        <f>IFERROR(__xludf.DUMMYFUNCTION("""COMPUTED_VALUE"""),"35-44 years")</f>
        <v>35-44 years</v>
      </c>
    </row>
    <row r="320">
      <c r="A320" s="57"/>
      <c r="B320" s="11">
        <v>13.0</v>
      </c>
      <c r="C320" s="7" t="s">
        <v>24</v>
      </c>
      <c r="D320" s="11">
        <v>342.0</v>
      </c>
      <c r="E320" s="11">
        <v>0.8</v>
      </c>
      <c r="F320" s="11">
        <v>1.7</v>
      </c>
      <c r="G320" s="51" t="str">
        <f t="shared" si="1"/>
        <v>All races, male, 35-44 years</v>
      </c>
      <c r="H320" s="51" t="str">
        <f t="shared" si="2"/>
        <v>All races, male, 35-44 years</v>
      </c>
      <c r="I320" s="52"/>
      <c r="J320" s="5" t="str">
        <f>IFERROR(__xludf.DUMMYFUNCTION("IFERROR(SPLIT(H320, "", "", FALSE, TRUE), )"),"All races")</f>
        <v>All races</v>
      </c>
      <c r="K320" s="5" t="str">
        <f>IFERROR(__xludf.DUMMYFUNCTION("""COMPUTED_VALUE"""),"male")</f>
        <v>male</v>
      </c>
      <c r="L320" s="5" t="str">
        <f>IFERROR(__xludf.DUMMYFUNCTION("""COMPUTED_VALUE"""),"35-44 years")</f>
        <v>35-44 years</v>
      </c>
    </row>
    <row r="321">
      <c r="A321" s="57"/>
      <c r="B321" s="11">
        <v>14.0</v>
      </c>
      <c r="C321" s="7" t="s">
        <v>28</v>
      </c>
      <c r="D321" s="11">
        <v>264.0</v>
      </c>
      <c r="E321" s="11">
        <v>0.6</v>
      </c>
      <c r="F321" s="11">
        <v>1.3</v>
      </c>
      <c r="G321" s="51" t="str">
        <f t="shared" si="1"/>
        <v>All races, male, 35-44 years</v>
      </c>
      <c r="H321" s="51" t="str">
        <f t="shared" si="2"/>
        <v>All races, male, 35-44 years</v>
      </c>
      <c r="I321" s="52"/>
      <c r="J321" s="5" t="str">
        <f>IFERROR(__xludf.DUMMYFUNCTION("IFERROR(SPLIT(H321, "", "", FALSE, TRUE), )"),"All races")</f>
        <v>All races</v>
      </c>
      <c r="K321" s="5" t="str">
        <f>IFERROR(__xludf.DUMMYFUNCTION("""COMPUTED_VALUE"""),"male")</f>
        <v>male</v>
      </c>
      <c r="L321" s="5" t="str">
        <f>IFERROR(__xludf.DUMMYFUNCTION("""COMPUTED_VALUE"""),"35-44 years")</f>
        <v>35-44 years</v>
      </c>
    </row>
    <row r="322">
      <c r="A322" s="57"/>
      <c r="B322" s="11">
        <v>15.0</v>
      </c>
      <c r="C322" s="7" t="s">
        <v>33</v>
      </c>
      <c r="D322" s="11">
        <v>251.0</v>
      </c>
      <c r="E322" s="11">
        <v>0.6</v>
      </c>
      <c r="F322" s="11">
        <v>1.2</v>
      </c>
      <c r="G322" s="51" t="str">
        <f t="shared" si="1"/>
        <v>All races, male, 35-44 years</v>
      </c>
      <c r="H322" s="51" t="str">
        <f t="shared" si="2"/>
        <v>All races, male, 35-44 years</v>
      </c>
      <c r="I322" s="52"/>
      <c r="J322" s="5" t="str">
        <f>IFERROR(__xludf.DUMMYFUNCTION("IFERROR(SPLIT(H322, "", "", FALSE, TRUE), )"),"All races")</f>
        <v>All races</v>
      </c>
      <c r="K322" s="5" t="str">
        <f>IFERROR(__xludf.DUMMYFUNCTION("""COMPUTED_VALUE"""),"male")</f>
        <v>male</v>
      </c>
      <c r="L322" s="5" t="str">
        <f>IFERROR(__xludf.DUMMYFUNCTION("""COMPUTED_VALUE"""),"35-44 years")</f>
        <v>35-44 years</v>
      </c>
    </row>
    <row r="323">
      <c r="A323" s="57"/>
      <c r="B323" s="7" t="s">
        <v>12</v>
      </c>
      <c r="C323" s="7" t="s">
        <v>31</v>
      </c>
      <c r="D323" s="53">
        <v>6805.0</v>
      </c>
      <c r="E323" s="11">
        <v>15.8</v>
      </c>
      <c r="F323" s="11">
        <v>33.8</v>
      </c>
      <c r="G323" s="51" t="str">
        <f t="shared" si="1"/>
        <v>All races, male, 35-44 years</v>
      </c>
      <c r="H323" s="51" t="str">
        <f t="shared" si="2"/>
        <v>All races, male, 35-44 years</v>
      </c>
      <c r="I323" s="52"/>
      <c r="J323" s="5" t="str">
        <f>IFERROR(__xludf.DUMMYFUNCTION("IFERROR(SPLIT(H323, "", "", FALSE, TRUE), )"),"All races")</f>
        <v>All races</v>
      </c>
      <c r="K323" s="5" t="str">
        <f>IFERROR(__xludf.DUMMYFUNCTION("""COMPUTED_VALUE"""),"male")</f>
        <v>male</v>
      </c>
      <c r="L323" s="5" t="str">
        <f>IFERROR(__xludf.DUMMYFUNCTION("""COMPUTED_VALUE"""),"35-44 years")</f>
        <v>35-44 years</v>
      </c>
    </row>
    <row r="324">
      <c r="A324" s="55" t="s">
        <v>89</v>
      </c>
      <c r="B324" s="49" t="s">
        <v>109</v>
      </c>
      <c r="G324" s="51" t="str">
        <f t="shared" si="1"/>
        <v>All races, male, 35-44 years</v>
      </c>
      <c r="H324" s="51" t="str">
        <f t="shared" si="2"/>
        <v/>
      </c>
      <c r="I324" s="52"/>
      <c r="J324" s="5" t="str">
        <f>IFERROR(__xludf.DUMMYFUNCTION("IFERROR(SPLIT(H324, "", "", FALSE, TRUE), )"),"")</f>
        <v/>
      </c>
    </row>
    <row r="325">
      <c r="A325" s="56"/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  <c r="G325" s="51" t="str">
        <f t="shared" si="1"/>
        <v>All races, male, 45-54 years</v>
      </c>
      <c r="H325" s="51" t="str">
        <f t="shared" si="2"/>
        <v/>
      </c>
      <c r="I325" s="52"/>
      <c r="J325" s="5" t="str">
        <f>IFERROR(__xludf.DUMMYFUNCTION("IFERROR(SPLIT(H325, "", "", FALSE, TRUE), )"),"")</f>
        <v/>
      </c>
    </row>
    <row r="326">
      <c r="A326" s="57"/>
      <c r="B326" s="7" t="s">
        <v>12</v>
      </c>
      <c r="C326" s="7" t="s">
        <v>13</v>
      </c>
      <c r="D326" s="53">
        <v>107997.0</v>
      </c>
      <c r="E326" s="11">
        <v>100.0</v>
      </c>
      <c r="F326" s="11">
        <v>500.7</v>
      </c>
      <c r="G326" s="51" t="str">
        <f t="shared" si="1"/>
        <v>All races, male, 45-54 years</v>
      </c>
      <c r="H326" s="51" t="str">
        <f t="shared" si="2"/>
        <v>All races, male, 45-54 years</v>
      </c>
      <c r="I326" s="52"/>
      <c r="J326" s="5" t="str">
        <f>IFERROR(__xludf.DUMMYFUNCTION("IFERROR(SPLIT(H326, "", "", FALSE, TRUE), )"),"All races")</f>
        <v>All races</v>
      </c>
      <c r="K326" s="5" t="str">
        <f>IFERROR(__xludf.DUMMYFUNCTION("""COMPUTED_VALUE"""),"male")</f>
        <v>male</v>
      </c>
      <c r="L326" s="5" t="str">
        <f>IFERROR(__xludf.DUMMYFUNCTION("""COMPUTED_VALUE"""),"45-54 years")</f>
        <v>45-54 years</v>
      </c>
    </row>
    <row r="327">
      <c r="A327" s="57"/>
      <c r="B327" s="11">
        <v>1.0</v>
      </c>
      <c r="C327" s="7" t="s">
        <v>16</v>
      </c>
      <c r="D327" s="53">
        <v>24830.0</v>
      </c>
      <c r="E327" s="11">
        <v>23.0</v>
      </c>
      <c r="F327" s="11">
        <v>115.1</v>
      </c>
      <c r="G327" s="51" t="str">
        <f t="shared" si="1"/>
        <v>All races, male, 45-54 years</v>
      </c>
      <c r="H327" s="51" t="str">
        <f t="shared" si="2"/>
        <v>All races, male, 45-54 years</v>
      </c>
      <c r="I327" s="52"/>
      <c r="J327" s="5" t="str">
        <f>IFERROR(__xludf.DUMMYFUNCTION("IFERROR(SPLIT(H327, "", "", FALSE, TRUE), )"),"All races")</f>
        <v>All races</v>
      </c>
      <c r="K327" s="5" t="str">
        <f>IFERROR(__xludf.DUMMYFUNCTION("""COMPUTED_VALUE"""),"male")</f>
        <v>male</v>
      </c>
      <c r="L327" s="5" t="str">
        <f>IFERROR(__xludf.DUMMYFUNCTION("""COMPUTED_VALUE"""),"45-54 years")</f>
        <v>45-54 years</v>
      </c>
    </row>
    <row r="328">
      <c r="A328" s="57"/>
      <c r="B328" s="11">
        <v>2.0</v>
      </c>
      <c r="C328" s="7" t="s">
        <v>17</v>
      </c>
      <c r="D328" s="53">
        <v>22966.0</v>
      </c>
      <c r="E328" s="11">
        <v>21.3</v>
      </c>
      <c r="F328" s="11">
        <v>106.5</v>
      </c>
      <c r="G328" s="51" t="str">
        <f t="shared" si="1"/>
        <v>All races, male, 45-54 years</v>
      </c>
      <c r="H328" s="51" t="str">
        <f t="shared" si="2"/>
        <v>All races, male, 45-54 years</v>
      </c>
      <c r="I328" s="52"/>
      <c r="J328" s="5" t="str">
        <f>IFERROR(__xludf.DUMMYFUNCTION("IFERROR(SPLIT(H328, "", "", FALSE, TRUE), )"),"All races")</f>
        <v>All races</v>
      </c>
      <c r="K328" s="5" t="str">
        <f>IFERROR(__xludf.DUMMYFUNCTION("""COMPUTED_VALUE"""),"male")</f>
        <v>male</v>
      </c>
      <c r="L328" s="5" t="str">
        <f>IFERROR(__xludf.DUMMYFUNCTION("""COMPUTED_VALUE"""),"45-54 years")</f>
        <v>45-54 years</v>
      </c>
    </row>
    <row r="329">
      <c r="A329" s="57"/>
      <c r="B329" s="11">
        <v>3.0</v>
      </c>
      <c r="C329" s="7" t="s">
        <v>19</v>
      </c>
      <c r="D329" s="53">
        <v>13591.0</v>
      </c>
      <c r="E329" s="11">
        <v>12.6</v>
      </c>
      <c r="F329" s="11">
        <v>63.0</v>
      </c>
      <c r="G329" s="51" t="str">
        <f t="shared" si="1"/>
        <v>All races, male, 45-54 years</v>
      </c>
      <c r="H329" s="51" t="str">
        <f t="shared" si="2"/>
        <v>All races, male, 45-54 years</v>
      </c>
      <c r="I329" s="52"/>
      <c r="J329" s="5" t="str">
        <f>IFERROR(__xludf.DUMMYFUNCTION("IFERROR(SPLIT(H329, "", "", FALSE, TRUE), )"),"All races")</f>
        <v>All races</v>
      </c>
      <c r="K329" s="5" t="str">
        <f>IFERROR(__xludf.DUMMYFUNCTION("""COMPUTED_VALUE"""),"male")</f>
        <v>male</v>
      </c>
      <c r="L329" s="5" t="str">
        <f>IFERROR(__xludf.DUMMYFUNCTION("""COMPUTED_VALUE"""),"45-54 years")</f>
        <v>45-54 years</v>
      </c>
    </row>
    <row r="330">
      <c r="A330" s="57"/>
      <c r="B330" s="11">
        <v>4.0</v>
      </c>
      <c r="C330" s="7" t="s">
        <v>25</v>
      </c>
      <c r="D330" s="53">
        <v>6393.0</v>
      </c>
      <c r="E330" s="11">
        <v>5.9</v>
      </c>
      <c r="F330" s="11">
        <v>29.6</v>
      </c>
      <c r="G330" s="51" t="str">
        <f t="shared" si="1"/>
        <v>All races, male, 45-54 years</v>
      </c>
      <c r="H330" s="51" t="str">
        <f t="shared" si="2"/>
        <v>All races, male, 45-54 years</v>
      </c>
      <c r="I330" s="52"/>
      <c r="J330" s="5" t="str">
        <f>IFERROR(__xludf.DUMMYFUNCTION("IFERROR(SPLIT(H330, "", "", FALSE, TRUE), )"),"All races")</f>
        <v>All races</v>
      </c>
      <c r="K330" s="5" t="str">
        <f>IFERROR(__xludf.DUMMYFUNCTION("""COMPUTED_VALUE"""),"male")</f>
        <v>male</v>
      </c>
      <c r="L330" s="5" t="str">
        <f>IFERROR(__xludf.DUMMYFUNCTION("""COMPUTED_VALUE"""),"45-54 years")</f>
        <v>45-54 years</v>
      </c>
    </row>
    <row r="331">
      <c r="A331" s="57"/>
      <c r="B331" s="11">
        <v>5.0</v>
      </c>
      <c r="C331" s="7" t="s">
        <v>27</v>
      </c>
      <c r="D331" s="53">
        <v>5858.0</v>
      </c>
      <c r="E331" s="11">
        <v>5.4</v>
      </c>
      <c r="F331" s="11">
        <v>27.2</v>
      </c>
      <c r="G331" s="51" t="str">
        <f t="shared" si="1"/>
        <v>All races, male, 45-54 years</v>
      </c>
      <c r="H331" s="51" t="str">
        <f t="shared" si="2"/>
        <v>All races, male, 45-54 years</v>
      </c>
      <c r="I331" s="52"/>
      <c r="J331" s="5" t="str">
        <f>IFERROR(__xludf.DUMMYFUNCTION("IFERROR(SPLIT(H331, "", "", FALSE, TRUE), )"),"All races")</f>
        <v>All races</v>
      </c>
      <c r="K331" s="5" t="str">
        <f>IFERROR(__xludf.DUMMYFUNCTION("""COMPUTED_VALUE"""),"male")</f>
        <v>male</v>
      </c>
      <c r="L331" s="5" t="str">
        <f>IFERROR(__xludf.DUMMYFUNCTION("""COMPUTED_VALUE"""),"45-54 years")</f>
        <v>45-54 years</v>
      </c>
    </row>
    <row r="332">
      <c r="A332" s="57"/>
      <c r="B332" s="11">
        <v>6.0</v>
      </c>
      <c r="C332" s="7" t="s">
        <v>22</v>
      </c>
      <c r="D332" s="53">
        <v>3633.0</v>
      </c>
      <c r="E332" s="11">
        <v>3.4</v>
      </c>
      <c r="F332" s="11">
        <v>16.8</v>
      </c>
      <c r="G332" s="51" t="str">
        <f t="shared" si="1"/>
        <v>All races, male, 45-54 years</v>
      </c>
      <c r="H332" s="51" t="str">
        <f t="shared" si="2"/>
        <v>All races, male, 45-54 years</v>
      </c>
      <c r="I332" s="52"/>
      <c r="J332" s="5" t="str">
        <f>IFERROR(__xludf.DUMMYFUNCTION("IFERROR(SPLIT(H332, "", "", FALSE, TRUE), )"),"All races")</f>
        <v>All races</v>
      </c>
      <c r="K332" s="5" t="str">
        <f>IFERROR(__xludf.DUMMYFUNCTION("""COMPUTED_VALUE"""),"male")</f>
        <v>male</v>
      </c>
      <c r="L332" s="5" t="str">
        <f>IFERROR(__xludf.DUMMYFUNCTION("""COMPUTED_VALUE"""),"45-54 years")</f>
        <v>45-54 years</v>
      </c>
    </row>
    <row r="333">
      <c r="A333" s="57"/>
      <c r="B333" s="11">
        <v>7.0</v>
      </c>
      <c r="C333" s="7" t="s">
        <v>20</v>
      </c>
      <c r="D333" s="53">
        <v>3067.0</v>
      </c>
      <c r="E333" s="11">
        <v>2.8</v>
      </c>
      <c r="F333" s="11">
        <v>14.2</v>
      </c>
      <c r="G333" s="51" t="str">
        <f t="shared" si="1"/>
        <v>All races, male, 45-54 years</v>
      </c>
      <c r="H333" s="51" t="str">
        <f t="shared" si="2"/>
        <v>All races, male, 45-54 years</v>
      </c>
      <c r="I333" s="52"/>
      <c r="J333" s="5" t="str">
        <f>IFERROR(__xludf.DUMMYFUNCTION("IFERROR(SPLIT(H333, "", "", FALSE, TRUE), )"),"All races")</f>
        <v>All races</v>
      </c>
      <c r="K333" s="5" t="str">
        <f>IFERROR(__xludf.DUMMYFUNCTION("""COMPUTED_VALUE"""),"male")</f>
        <v>male</v>
      </c>
      <c r="L333" s="5" t="str">
        <f>IFERROR(__xludf.DUMMYFUNCTION("""COMPUTED_VALUE"""),"45-54 years")</f>
        <v>45-54 years</v>
      </c>
    </row>
    <row r="334">
      <c r="A334" s="57"/>
      <c r="B334" s="11">
        <v>8.0</v>
      </c>
      <c r="C334" s="7" t="s">
        <v>18</v>
      </c>
      <c r="D334" s="53">
        <v>2142.0</v>
      </c>
      <c r="E334" s="11">
        <v>2.0</v>
      </c>
      <c r="F334" s="11">
        <v>9.9</v>
      </c>
      <c r="G334" s="51" t="str">
        <f t="shared" si="1"/>
        <v>All races, male, 45-54 years</v>
      </c>
      <c r="H334" s="51" t="str">
        <f t="shared" si="2"/>
        <v>All races, male, 45-54 years</v>
      </c>
      <c r="I334" s="52"/>
      <c r="J334" s="5" t="str">
        <f>IFERROR(__xludf.DUMMYFUNCTION("IFERROR(SPLIT(H334, "", "", FALSE, TRUE), )"),"All races")</f>
        <v>All races</v>
      </c>
      <c r="K334" s="5" t="str">
        <f>IFERROR(__xludf.DUMMYFUNCTION("""COMPUTED_VALUE"""),"male")</f>
        <v>male</v>
      </c>
      <c r="L334" s="5" t="str">
        <f>IFERROR(__xludf.DUMMYFUNCTION("""COMPUTED_VALUE"""),"45-54 years")</f>
        <v>45-54 years</v>
      </c>
    </row>
    <row r="335">
      <c r="A335" s="57"/>
      <c r="B335" s="11">
        <v>9.0</v>
      </c>
      <c r="C335" s="7" t="s">
        <v>44</v>
      </c>
      <c r="D335" s="53">
        <v>1760.0</v>
      </c>
      <c r="E335" s="11">
        <v>1.6</v>
      </c>
      <c r="F335" s="11">
        <v>8.2</v>
      </c>
      <c r="G335" s="51" t="str">
        <f t="shared" si="1"/>
        <v>All races, male, 45-54 years</v>
      </c>
      <c r="H335" s="51" t="str">
        <f t="shared" si="2"/>
        <v>All races, male, 45-54 years</v>
      </c>
      <c r="I335" s="52"/>
      <c r="J335" s="5" t="str">
        <f>IFERROR(__xludf.DUMMYFUNCTION("IFERROR(SPLIT(H335, "", "", FALSE, TRUE), )"),"All races")</f>
        <v>All races</v>
      </c>
      <c r="K335" s="5" t="str">
        <f>IFERROR(__xludf.DUMMYFUNCTION("""COMPUTED_VALUE"""),"male")</f>
        <v>male</v>
      </c>
      <c r="L335" s="5" t="str">
        <f>IFERROR(__xludf.DUMMYFUNCTION("""COMPUTED_VALUE"""),"45-54 years")</f>
        <v>45-54 years</v>
      </c>
    </row>
    <row r="336">
      <c r="A336" s="57"/>
      <c r="B336" s="11">
        <v>10.0</v>
      </c>
      <c r="C336" s="7" t="s">
        <v>34</v>
      </c>
      <c r="D336" s="53">
        <v>1479.0</v>
      </c>
      <c r="E336" s="11">
        <v>1.4</v>
      </c>
      <c r="F336" s="11">
        <v>6.9</v>
      </c>
      <c r="G336" s="51" t="str">
        <f t="shared" si="1"/>
        <v>All races, male, 45-54 years</v>
      </c>
      <c r="H336" s="51" t="str">
        <f t="shared" si="2"/>
        <v>All races, male, 45-54 years</v>
      </c>
      <c r="I336" s="52"/>
      <c r="J336" s="5" t="str">
        <f>IFERROR(__xludf.DUMMYFUNCTION("IFERROR(SPLIT(H336, "", "", FALSE, TRUE), )"),"All races")</f>
        <v>All races</v>
      </c>
      <c r="K336" s="5" t="str">
        <f>IFERROR(__xludf.DUMMYFUNCTION("""COMPUTED_VALUE"""),"male")</f>
        <v>male</v>
      </c>
      <c r="L336" s="5" t="str">
        <f>IFERROR(__xludf.DUMMYFUNCTION("""COMPUTED_VALUE"""),"45-54 years")</f>
        <v>45-54 years</v>
      </c>
    </row>
    <row r="337">
      <c r="A337" s="57"/>
      <c r="B337" s="11">
        <v>11.0</v>
      </c>
      <c r="C337" s="7" t="s">
        <v>49</v>
      </c>
      <c r="D337" s="53">
        <v>1328.0</v>
      </c>
      <c r="E337" s="11">
        <v>1.2</v>
      </c>
      <c r="F337" s="11">
        <v>6.2</v>
      </c>
      <c r="G337" s="51" t="str">
        <f t="shared" si="1"/>
        <v>All races, male, 45-54 years</v>
      </c>
      <c r="H337" s="51" t="str">
        <f t="shared" si="2"/>
        <v>All races, male, 45-54 years</v>
      </c>
      <c r="I337" s="52"/>
      <c r="J337" s="5" t="str">
        <f>IFERROR(__xludf.DUMMYFUNCTION("IFERROR(SPLIT(H337, "", "", FALSE, TRUE), )"),"All races")</f>
        <v>All races</v>
      </c>
      <c r="K337" s="5" t="str">
        <f>IFERROR(__xludf.DUMMYFUNCTION("""COMPUTED_VALUE"""),"male")</f>
        <v>male</v>
      </c>
      <c r="L337" s="5" t="str">
        <f>IFERROR(__xludf.DUMMYFUNCTION("""COMPUTED_VALUE"""),"45-54 years")</f>
        <v>45-54 years</v>
      </c>
    </row>
    <row r="338">
      <c r="A338" s="57"/>
      <c r="B338" s="11">
        <v>12.0</v>
      </c>
      <c r="C338" s="7" t="s">
        <v>26</v>
      </c>
      <c r="D338" s="53">
        <v>1304.0</v>
      </c>
      <c r="E338" s="11">
        <v>1.2</v>
      </c>
      <c r="F338" s="11">
        <v>6.0</v>
      </c>
      <c r="G338" s="51" t="str">
        <f t="shared" si="1"/>
        <v>All races, male, 45-54 years</v>
      </c>
      <c r="H338" s="51" t="str">
        <f t="shared" si="2"/>
        <v>All races, male, 45-54 years</v>
      </c>
      <c r="I338" s="52"/>
      <c r="J338" s="5" t="str">
        <f>IFERROR(__xludf.DUMMYFUNCTION("IFERROR(SPLIT(H338, "", "", FALSE, TRUE), )"),"All races")</f>
        <v>All races</v>
      </c>
      <c r="K338" s="5" t="str">
        <f>IFERROR(__xludf.DUMMYFUNCTION("""COMPUTED_VALUE"""),"male")</f>
        <v>male</v>
      </c>
      <c r="L338" s="5" t="str">
        <f>IFERROR(__xludf.DUMMYFUNCTION("""COMPUTED_VALUE"""),"45-54 years")</f>
        <v>45-54 years</v>
      </c>
    </row>
    <row r="339">
      <c r="A339" s="57"/>
      <c r="B339" s="11">
        <v>13.0</v>
      </c>
      <c r="C339" s="7" t="s">
        <v>23</v>
      </c>
      <c r="D339" s="53">
        <v>1277.0</v>
      </c>
      <c r="E339" s="11">
        <v>1.2</v>
      </c>
      <c r="F339" s="11">
        <v>5.9</v>
      </c>
      <c r="G339" s="51" t="str">
        <f t="shared" si="1"/>
        <v>All races, male, 45-54 years</v>
      </c>
      <c r="H339" s="51" t="str">
        <f t="shared" si="2"/>
        <v>All races, male, 45-54 years</v>
      </c>
      <c r="I339" s="52"/>
      <c r="J339" s="5" t="str">
        <f>IFERROR(__xludf.DUMMYFUNCTION("IFERROR(SPLIT(H339, "", "", FALSE, TRUE), )"),"All races")</f>
        <v>All races</v>
      </c>
      <c r="K339" s="5" t="str">
        <f>IFERROR(__xludf.DUMMYFUNCTION("""COMPUTED_VALUE"""),"male")</f>
        <v>male</v>
      </c>
      <c r="L339" s="5" t="str">
        <f>IFERROR(__xludf.DUMMYFUNCTION("""COMPUTED_VALUE"""),"45-54 years")</f>
        <v>45-54 years</v>
      </c>
    </row>
    <row r="340">
      <c r="A340" s="57"/>
      <c r="B340" s="11">
        <v>14.0</v>
      </c>
      <c r="C340" s="7" t="s">
        <v>24</v>
      </c>
      <c r="D340" s="53">
        <v>1190.0</v>
      </c>
      <c r="E340" s="11">
        <v>1.1</v>
      </c>
      <c r="F340" s="11">
        <v>5.5</v>
      </c>
      <c r="G340" s="51" t="str">
        <f t="shared" si="1"/>
        <v>All races, male, 45-54 years</v>
      </c>
      <c r="H340" s="51" t="str">
        <f t="shared" si="2"/>
        <v>All races, male, 45-54 years</v>
      </c>
      <c r="I340" s="52"/>
      <c r="J340" s="5" t="str">
        <f>IFERROR(__xludf.DUMMYFUNCTION("IFERROR(SPLIT(H340, "", "", FALSE, TRUE), )"),"All races")</f>
        <v>All races</v>
      </c>
      <c r="K340" s="5" t="str">
        <f>IFERROR(__xludf.DUMMYFUNCTION("""COMPUTED_VALUE"""),"male")</f>
        <v>male</v>
      </c>
      <c r="L340" s="5" t="str">
        <f>IFERROR(__xludf.DUMMYFUNCTION("""COMPUTED_VALUE"""),"45-54 years")</f>
        <v>45-54 years</v>
      </c>
    </row>
    <row r="341">
      <c r="A341" s="57"/>
      <c r="B341" s="11">
        <v>15.0</v>
      </c>
      <c r="C341" s="7" t="s">
        <v>28</v>
      </c>
      <c r="D341" s="11">
        <v>990.0</v>
      </c>
      <c r="E341" s="11">
        <v>0.9</v>
      </c>
      <c r="F341" s="11">
        <v>4.6</v>
      </c>
      <c r="G341" s="51" t="str">
        <f t="shared" si="1"/>
        <v>All races, male, 45-54 years</v>
      </c>
      <c r="H341" s="51" t="str">
        <f t="shared" si="2"/>
        <v>All races, male, 45-54 years</v>
      </c>
      <c r="I341" s="52"/>
      <c r="J341" s="5" t="str">
        <f>IFERROR(__xludf.DUMMYFUNCTION("IFERROR(SPLIT(H341, "", "", FALSE, TRUE), )"),"All races")</f>
        <v>All races</v>
      </c>
      <c r="K341" s="5" t="str">
        <f>IFERROR(__xludf.DUMMYFUNCTION("""COMPUTED_VALUE"""),"male")</f>
        <v>male</v>
      </c>
      <c r="L341" s="5" t="str">
        <f>IFERROR(__xludf.DUMMYFUNCTION("""COMPUTED_VALUE"""),"45-54 years")</f>
        <v>45-54 years</v>
      </c>
    </row>
    <row r="342">
      <c r="A342" s="57"/>
      <c r="B342" s="7" t="s">
        <v>12</v>
      </c>
      <c r="C342" s="7" t="s">
        <v>31</v>
      </c>
      <c r="D342" s="53">
        <v>16189.0</v>
      </c>
      <c r="E342" s="11">
        <v>15.0</v>
      </c>
      <c r="F342" s="11">
        <v>75.1</v>
      </c>
      <c r="G342" s="51" t="str">
        <f t="shared" si="1"/>
        <v>All races, male, 45-54 years</v>
      </c>
      <c r="H342" s="51" t="str">
        <f t="shared" si="2"/>
        <v>All races, male, 45-54 years</v>
      </c>
      <c r="I342" s="52"/>
      <c r="J342" s="5" t="str">
        <f>IFERROR(__xludf.DUMMYFUNCTION("IFERROR(SPLIT(H342, "", "", FALSE, TRUE), )"),"All races")</f>
        <v>All races</v>
      </c>
      <c r="K342" s="5" t="str">
        <f>IFERROR(__xludf.DUMMYFUNCTION("""COMPUTED_VALUE"""),"male")</f>
        <v>male</v>
      </c>
      <c r="L342" s="5" t="str">
        <f>IFERROR(__xludf.DUMMYFUNCTION("""COMPUTED_VALUE"""),"45-54 years")</f>
        <v>45-54 years</v>
      </c>
    </row>
    <row r="343">
      <c r="A343" s="55" t="s">
        <v>89</v>
      </c>
      <c r="B343" s="49" t="s">
        <v>110</v>
      </c>
      <c r="G343" s="51" t="str">
        <f t="shared" si="1"/>
        <v>All races, male, 45-54 years</v>
      </c>
      <c r="H343" s="51" t="str">
        <f t="shared" si="2"/>
        <v/>
      </c>
      <c r="I343" s="52"/>
      <c r="J343" s="5" t="str">
        <f>IFERROR(__xludf.DUMMYFUNCTION("IFERROR(SPLIT(H343, "", "", FALSE, TRUE), )"),"")</f>
        <v/>
      </c>
    </row>
    <row r="344">
      <c r="A344" s="56"/>
      <c r="B344" s="3" t="s">
        <v>3</v>
      </c>
      <c r="C344" s="3" t="s">
        <v>4</v>
      </c>
      <c r="D344" s="3" t="s">
        <v>5</v>
      </c>
      <c r="E344" s="3" t="s">
        <v>6</v>
      </c>
      <c r="F344" s="3" t="s">
        <v>7</v>
      </c>
      <c r="G344" s="51" t="str">
        <f t="shared" si="1"/>
        <v>All races, male, 55-64 years</v>
      </c>
      <c r="H344" s="51" t="str">
        <f t="shared" si="2"/>
        <v/>
      </c>
      <c r="I344" s="52"/>
      <c r="J344" s="5" t="str">
        <f>IFERROR(__xludf.DUMMYFUNCTION("IFERROR(SPLIT(H344, "", "", FALSE, TRUE), )"),"")</f>
        <v/>
      </c>
    </row>
    <row r="345">
      <c r="A345" s="57"/>
      <c r="B345" s="7" t="s">
        <v>12</v>
      </c>
      <c r="C345" s="7" t="s">
        <v>13</v>
      </c>
      <c r="D345" s="53">
        <v>206325.0</v>
      </c>
      <c r="E345" s="11">
        <v>100.0</v>
      </c>
      <c r="F345" s="54">
        <v>1088.4</v>
      </c>
      <c r="G345" s="51" t="str">
        <f t="shared" si="1"/>
        <v>All races, male, 55-64 years</v>
      </c>
      <c r="H345" s="51" t="str">
        <f t="shared" si="2"/>
        <v>All races, male, 55-64 years</v>
      </c>
      <c r="I345" s="52"/>
      <c r="J345" s="5" t="str">
        <f>IFERROR(__xludf.DUMMYFUNCTION("IFERROR(SPLIT(H345, "", "", FALSE, TRUE), )"),"All races")</f>
        <v>All races</v>
      </c>
      <c r="K345" s="5" t="str">
        <f>IFERROR(__xludf.DUMMYFUNCTION("""COMPUTED_VALUE"""),"male")</f>
        <v>male</v>
      </c>
      <c r="L345" s="5" t="str">
        <f>IFERROR(__xludf.DUMMYFUNCTION("""COMPUTED_VALUE"""),"55-64 years")</f>
        <v>55-64 years</v>
      </c>
    </row>
    <row r="346">
      <c r="A346" s="57"/>
      <c r="B346" s="11">
        <v>1.0</v>
      </c>
      <c r="C346" s="7" t="s">
        <v>17</v>
      </c>
      <c r="D346" s="53">
        <v>62810.0</v>
      </c>
      <c r="E346" s="11">
        <v>30.4</v>
      </c>
      <c r="F346" s="11">
        <v>331.3</v>
      </c>
      <c r="G346" s="51" t="str">
        <f t="shared" si="1"/>
        <v>All races, male, 55-64 years</v>
      </c>
      <c r="H346" s="51" t="str">
        <f t="shared" si="2"/>
        <v>All races, male, 55-64 years</v>
      </c>
      <c r="I346" s="52"/>
      <c r="J346" s="5" t="str">
        <f>IFERROR(__xludf.DUMMYFUNCTION("IFERROR(SPLIT(H346, "", "", FALSE, TRUE), )"),"All races")</f>
        <v>All races</v>
      </c>
      <c r="K346" s="5" t="str">
        <f>IFERROR(__xludf.DUMMYFUNCTION("""COMPUTED_VALUE"""),"male")</f>
        <v>male</v>
      </c>
      <c r="L346" s="5" t="str">
        <f>IFERROR(__xludf.DUMMYFUNCTION("""COMPUTED_VALUE"""),"55-64 years")</f>
        <v>55-64 years</v>
      </c>
    </row>
    <row r="347">
      <c r="A347" s="57"/>
      <c r="B347" s="11">
        <v>2.0</v>
      </c>
      <c r="C347" s="7" t="s">
        <v>16</v>
      </c>
      <c r="D347" s="53">
        <v>50680.0</v>
      </c>
      <c r="E347" s="11">
        <v>24.6</v>
      </c>
      <c r="F347" s="11">
        <v>267.3</v>
      </c>
      <c r="G347" s="51" t="str">
        <f t="shared" si="1"/>
        <v>All races, male, 55-64 years</v>
      </c>
      <c r="H347" s="51" t="str">
        <f t="shared" si="2"/>
        <v>All races, male, 55-64 years</v>
      </c>
      <c r="I347" s="52"/>
      <c r="J347" s="5" t="str">
        <f>IFERROR(__xludf.DUMMYFUNCTION("IFERROR(SPLIT(H347, "", "", FALSE, TRUE), )"),"All races")</f>
        <v>All races</v>
      </c>
      <c r="K347" s="5" t="str">
        <f>IFERROR(__xludf.DUMMYFUNCTION("""COMPUTED_VALUE"""),"male")</f>
        <v>male</v>
      </c>
      <c r="L347" s="5" t="str">
        <f>IFERROR(__xludf.DUMMYFUNCTION("""COMPUTED_VALUE"""),"55-64 years")</f>
        <v>55-64 years</v>
      </c>
    </row>
    <row r="348">
      <c r="A348" s="57"/>
      <c r="B348" s="11">
        <v>3.0</v>
      </c>
      <c r="C348" s="7" t="s">
        <v>19</v>
      </c>
      <c r="D348" s="53">
        <v>11658.0</v>
      </c>
      <c r="E348" s="11">
        <v>5.7</v>
      </c>
      <c r="F348" s="11">
        <v>61.5</v>
      </c>
      <c r="G348" s="51" t="str">
        <f t="shared" si="1"/>
        <v>All races, male, 55-64 years</v>
      </c>
      <c r="H348" s="51" t="str">
        <f t="shared" si="2"/>
        <v>All races, male, 55-64 years</v>
      </c>
      <c r="I348" s="52"/>
      <c r="J348" s="5" t="str">
        <f>IFERROR(__xludf.DUMMYFUNCTION("IFERROR(SPLIT(H348, "", "", FALSE, TRUE), )"),"All races")</f>
        <v>All races</v>
      </c>
      <c r="K348" s="5" t="str">
        <f>IFERROR(__xludf.DUMMYFUNCTION("""COMPUTED_VALUE"""),"male")</f>
        <v>male</v>
      </c>
      <c r="L348" s="5" t="str">
        <f>IFERROR(__xludf.DUMMYFUNCTION("""COMPUTED_VALUE"""),"55-64 years")</f>
        <v>55-64 years</v>
      </c>
    </row>
    <row r="349">
      <c r="A349" s="57"/>
      <c r="B349" s="11">
        <v>4.0</v>
      </c>
      <c r="C349" s="7" t="s">
        <v>27</v>
      </c>
      <c r="D349" s="53">
        <v>8485.0</v>
      </c>
      <c r="E349" s="11">
        <v>4.1</v>
      </c>
      <c r="F349" s="11">
        <v>44.8</v>
      </c>
      <c r="G349" s="51" t="str">
        <f t="shared" si="1"/>
        <v>All races, male, 55-64 years</v>
      </c>
      <c r="H349" s="51" t="str">
        <f t="shared" si="2"/>
        <v>All races, male, 55-64 years</v>
      </c>
      <c r="I349" s="52"/>
      <c r="J349" s="5" t="str">
        <f>IFERROR(__xludf.DUMMYFUNCTION("IFERROR(SPLIT(H349, "", "", FALSE, TRUE), )"),"All races")</f>
        <v>All races</v>
      </c>
      <c r="K349" s="5" t="str">
        <f>IFERROR(__xludf.DUMMYFUNCTION("""COMPUTED_VALUE"""),"male")</f>
        <v>male</v>
      </c>
      <c r="L349" s="5" t="str">
        <f>IFERROR(__xludf.DUMMYFUNCTION("""COMPUTED_VALUE"""),"55-64 years")</f>
        <v>55-64 years</v>
      </c>
    </row>
    <row r="350">
      <c r="A350" s="57"/>
      <c r="B350" s="11">
        <v>5.0</v>
      </c>
      <c r="C350" s="7" t="s">
        <v>18</v>
      </c>
      <c r="D350" s="53">
        <v>8287.0</v>
      </c>
      <c r="E350" s="11">
        <v>4.0</v>
      </c>
      <c r="F350" s="11">
        <v>43.7</v>
      </c>
      <c r="G350" s="51" t="str">
        <f t="shared" si="1"/>
        <v>All races, male, 55-64 years</v>
      </c>
      <c r="H350" s="51" t="str">
        <f t="shared" si="2"/>
        <v>All races, male, 55-64 years</v>
      </c>
      <c r="I350" s="52"/>
      <c r="J350" s="5" t="str">
        <f>IFERROR(__xludf.DUMMYFUNCTION("IFERROR(SPLIT(H350, "", "", FALSE, TRUE), )"),"All races")</f>
        <v>All races</v>
      </c>
      <c r="K350" s="5" t="str">
        <f>IFERROR(__xludf.DUMMYFUNCTION("""COMPUTED_VALUE"""),"male")</f>
        <v>male</v>
      </c>
      <c r="L350" s="5" t="str">
        <f>IFERROR(__xludf.DUMMYFUNCTION("""COMPUTED_VALUE"""),"55-64 years")</f>
        <v>55-64 years</v>
      </c>
    </row>
    <row r="351">
      <c r="A351" s="57"/>
      <c r="B351" s="11">
        <v>6.0</v>
      </c>
      <c r="C351" s="7" t="s">
        <v>22</v>
      </c>
      <c r="D351" s="53">
        <v>7933.0</v>
      </c>
      <c r="E351" s="11">
        <v>3.8</v>
      </c>
      <c r="F351" s="11">
        <v>41.8</v>
      </c>
      <c r="G351" s="51" t="str">
        <f t="shared" si="1"/>
        <v>All races, male, 55-64 years</v>
      </c>
      <c r="H351" s="51" t="str">
        <f t="shared" si="2"/>
        <v>All races, male, 55-64 years</v>
      </c>
      <c r="I351" s="52"/>
      <c r="J351" s="5" t="str">
        <f>IFERROR(__xludf.DUMMYFUNCTION("IFERROR(SPLIT(H351, "", "", FALSE, TRUE), )"),"All races")</f>
        <v>All races</v>
      </c>
      <c r="K351" s="5" t="str">
        <f>IFERROR(__xludf.DUMMYFUNCTION("""COMPUTED_VALUE"""),"male")</f>
        <v>male</v>
      </c>
      <c r="L351" s="5" t="str">
        <f>IFERROR(__xludf.DUMMYFUNCTION("""COMPUTED_VALUE"""),"55-64 years")</f>
        <v>55-64 years</v>
      </c>
    </row>
    <row r="352">
      <c r="A352" s="57"/>
      <c r="B352" s="11">
        <v>7.0</v>
      </c>
      <c r="C352" s="7" t="s">
        <v>20</v>
      </c>
      <c r="D352" s="53">
        <v>6651.0</v>
      </c>
      <c r="E352" s="11">
        <v>3.2</v>
      </c>
      <c r="F352" s="11">
        <v>35.1</v>
      </c>
      <c r="G352" s="51" t="str">
        <f t="shared" si="1"/>
        <v>All races, male, 55-64 years</v>
      </c>
      <c r="H352" s="51" t="str">
        <f t="shared" si="2"/>
        <v>All races, male, 55-64 years</v>
      </c>
      <c r="I352" s="52"/>
      <c r="J352" s="5" t="str">
        <f>IFERROR(__xludf.DUMMYFUNCTION("IFERROR(SPLIT(H352, "", "", FALSE, TRUE), )"),"All races")</f>
        <v>All races</v>
      </c>
      <c r="K352" s="5" t="str">
        <f>IFERROR(__xludf.DUMMYFUNCTION("""COMPUTED_VALUE"""),"male")</f>
        <v>male</v>
      </c>
      <c r="L352" s="5" t="str">
        <f>IFERROR(__xludf.DUMMYFUNCTION("""COMPUTED_VALUE"""),"55-64 years")</f>
        <v>55-64 years</v>
      </c>
    </row>
    <row r="353">
      <c r="A353" s="57"/>
      <c r="B353" s="11">
        <v>8.0</v>
      </c>
      <c r="C353" s="7" t="s">
        <v>25</v>
      </c>
      <c r="D353" s="53">
        <v>5373.0</v>
      </c>
      <c r="E353" s="11">
        <v>2.6</v>
      </c>
      <c r="F353" s="11">
        <v>28.3</v>
      </c>
      <c r="G353" s="51" t="str">
        <f t="shared" si="1"/>
        <v>All races, male, 55-64 years</v>
      </c>
      <c r="H353" s="51" t="str">
        <f t="shared" si="2"/>
        <v>All races, male, 55-64 years</v>
      </c>
      <c r="I353" s="52"/>
      <c r="J353" s="5" t="str">
        <f>IFERROR(__xludf.DUMMYFUNCTION("IFERROR(SPLIT(H353, "", "", FALSE, TRUE), )"),"All races")</f>
        <v>All races</v>
      </c>
      <c r="K353" s="5" t="str">
        <f>IFERROR(__xludf.DUMMYFUNCTION("""COMPUTED_VALUE"""),"male")</f>
        <v>male</v>
      </c>
      <c r="L353" s="5" t="str">
        <f>IFERROR(__xludf.DUMMYFUNCTION("""COMPUTED_VALUE"""),"55-64 years")</f>
        <v>55-64 years</v>
      </c>
    </row>
    <row r="354">
      <c r="A354" s="57"/>
      <c r="B354" s="11">
        <v>9.0</v>
      </c>
      <c r="C354" s="7" t="s">
        <v>26</v>
      </c>
      <c r="D354" s="53">
        <v>2892.0</v>
      </c>
      <c r="E354" s="11">
        <v>1.4</v>
      </c>
      <c r="F354" s="11">
        <v>15.3</v>
      </c>
      <c r="G354" s="51" t="str">
        <f t="shared" si="1"/>
        <v>All races, male, 55-64 years</v>
      </c>
      <c r="H354" s="51" t="str">
        <f t="shared" si="2"/>
        <v>All races, male, 55-64 years</v>
      </c>
      <c r="I354" s="52"/>
      <c r="J354" s="5" t="str">
        <f>IFERROR(__xludf.DUMMYFUNCTION("IFERROR(SPLIT(H354, "", "", FALSE, TRUE), )"),"All races")</f>
        <v>All races</v>
      </c>
      <c r="K354" s="5" t="str">
        <f>IFERROR(__xludf.DUMMYFUNCTION("""COMPUTED_VALUE"""),"male")</f>
        <v>male</v>
      </c>
      <c r="L354" s="5" t="str">
        <f>IFERROR(__xludf.DUMMYFUNCTION("""COMPUTED_VALUE"""),"55-64 years")</f>
        <v>55-64 years</v>
      </c>
    </row>
    <row r="355">
      <c r="A355" s="57"/>
      <c r="B355" s="11">
        <v>10.0</v>
      </c>
      <c r="C355" s="7" t="s">
        <v>24</v>
      </c>
      <c r="D355" s="53">
        <v>2800.0</v>
      </c>
      <c r="E355" s="11">
        <v>1.4</v>
      </c>
      <c r="F355" s="11">
        <v>14.8</v>
      </c>
      <c r="G355" s="51" t="str">
        <f t="shared" si="1"/>
        <v>All races, male, 55-64 years</v>
      </c>
      <c r="H355" s="51" t="str">
        <f t="shared" si="2"/>
        <v>All races, male, 55-64 years</v>
      </c>
      <c r="I355" s="52"/>
      <c r="J355" s="5" t="str">
        <f>IFERROR(__xludf.DUMMYFUNCTION("IFERROR(SPLIT(H355, "", "", FALSE, TRUE), )"),"All races")</f>
        <v>All races</v>
      </c>
      <c r="K355" s="5" t="str">
        <f>IFERROR(__xludf.DUMMYFUNCTION("""COMPUTED_VALUE"""),"male")</f>
        <v>male</v>
      </c>
      <c r="L355" s="5" t="str">
        <f>IFERROR(__xludf.DUMMYFUNCTION("""COMPUTED_VALUE"""),"55-64 years")</f>
        <v>55-64 years</v>
      </c>
    </row>
    <row r="356">
      <c r="A356" s="57"/>
      <c r="B356" s="11">
        <v>11.0</v>
      </c>
      <c r="C356" s="7" t="s">
        <v>49</v>
      </c>
      <c r="D356" s="53">
        <v>2792.0</v>
      </c>
      <c r="E356" s="11">
        <v>1.4</v>
      </c>
      <c r="F356" s="11">
        <v>14.7</v>
      </c>
      <c r="G356" s="51" t="str">
        <f t="shared" si="1"/>
        <v>All races, male, 55-64 years</v>
      </c>
      <c r="H356" s="51" t="str">
        <f t="shared" si="2"/>
        <v>All races, male, 55-64 years</v>
      </c>
      <c r="I356" s="52"/>
      <c r="J356" s="5" t="str">
        <f>IFERROR(__xludf.DUMMYFUNCTION("IFERROR(SPLIT(H356, "", "", FALSE, TRUE), )"),"All races")</f>
        <v>All races</v>
      </c>
      <c r="K356" s="5" t="str">
        <f>IFERROR(__xludf.DUMMYFUNCTION("""COMPUTED_VALUE"""),"male")</f>
        <v>male</v>
      </c>
      <c r="L356" s="5" t="str">
        <f>IFERROR(__xludf.DUMMYFUNCTION("""COMPUTED_VALUE"""),"55-64 years")</f>
        <v>55-64 years</v>
      </c>
    </row>
    <row r="357">
      <c r="A357" s="57"/>
      <c r="B357" s="11">
        <v>12.0</v>
      </c>
      <c r="C357" s="7" t="s">
        <v>23</v>
      </c>
      <c r="D357" s="53">
        <v>2745.0</v>
      </c>
      <c r="E357" s="11">
        <v>1.3</v>
      </c>
      <c r="F357" s="11">
        <v>14.5</v>
      </c>
      <c r="G357" s="51" t="str">
        <f t="shared" si="1"/>
        <v>All races, male, 55-64 years</v>
      </c>
      <c r="H357" s="51" t="str">
        <f t="shared" si="2"/>
        <v>All races, male, 55-64 years</v>
      </c>
      <c r="I357" s="52"/>
      <c r="J357" s="5" t="str">
        <f>IFERROR(__xludf.DUMMYFUNCTION("IFERROR(SPLIT(H357, "", "", FALSE, TRUE), )"),"All races")</f>
        <v>All races</v>
      </c>
      <c r="K357" s="5" t="str">
        <f>IFERROR(__xludf.DUMMYFUNCTION("""COMPUTED_VALUE"""),"male")</f>
        <v>male</v>
      </c>
      <c r="L357" s="5" t="str">
        <f>IFERROR(__xludf.DUMMYFUNCTION("""COMPUTED_VALUE"""),"55-64 years")</f>
        <v>55-64 years</v>
      </c>
    </row>
    <row r="358">
      <c r="A358" s="57"/>
      <c r="B358" s="11">
        <v>13.0</v>
      </c>
      <c r="C358" s="7" t="s">
        <v>28</v>
      </c>
      <c r="D358" s="53">
        <v>1990.0</v>
      </c>
      <c r="E358" s="11">
        <v>1.0</v>
      </c>
      <c r="F358" s="11">
        <v>10.5</v>
      </c>
      <c r="G358" s="51" t="str">
        <f t="shared" si="1"/>
        <v>All races, male, 55-64 years</v>
      </c>
      <c r="H358" s="51" t="str">
        <f t="shared" si="2"/>
        <v>All races, male, 55-64 years</v>
      </c>
      <c r="I358" s="52"/>
      <c r="J358" s="5" t="str">
        <f>IFERROR(__xludf.DUMMYFUNCTION("IFERROR(SPLIT(H358, "", "", FALSE, TRUE), )"),"All races")</f>
        <v>All races</v>
      </c>
      <c r="K358" s="5" t="str">
        <f>IFERROR(__xludf.DUMMYFUNCTION("""COMPUTED_VALUE"""),"male")</f>
        <v>male</v>
      </c>
      <c r="L358" s="5" t="str">
        <f>IFERROR(__xludf.DUMMYFUNCTION("""COMPUTED_VALUE"""),"55-64 years")</f>
        <v>55-64 years</v>
      </c>
    </row>
    <row r="359">
      <c r="A359" s="57"/>
      <c r="B359" s="11">
        <v>14.0</v>
      </c>
      <c r="C359" s="7" t="s">
        <v>44</v>
      </c>
      <c r="D359" s="53">
        <v>1369.0</v>
      </c>
      <c r="E359" s="11">
        <v>0.7</v>
      </c>
      <c r="F359" s="11">
        <v>7.2</v>
      </c>
      <c r="G359" s="51" t="str">
        <f t="shared" si="1"/>
        <v>All races, male, 55-64 years</v>
      </c>
      <c r="H359" s="51" t="str">
        <f t="shared" si="2"/>
        <v>All races, male, 55-64 years</v>
      </c>
      <c r="I359" s="52"/>
      <c r="J359" s="5" t="str">
        <f>IFERROR(__xludf.DUMMYFUNCTION("IFERROR(SPLIT(H359, "", "", FALSE, TRUE), )"),"All races")</f>
        <v>All races</v>
      </c>
      <c r="K359" s="5" t="str">
        <f>IFERROR(__xludf.DUMMYFUNCTION("""COMPUTED_VALUE"""),"male")</f>
        <v>male</v>
      </c>
      <c r="L359" s="5" t="str">
        <f>IFERROR(__xludf.DUMMYFUNCTION("""COMPUTED_VALUE"""),"55-64 years")</f>
        <v>55-64 years</v>
      </c>
    </row>
    <row r="360">
      <c r="A360" s="57"/>
      <c r="B360" s="11">
        <v>15.0</v>
      </c>
      <c r="C360" s="7" t="s">
        <v>56</v>
      </c>
      <c r="D360" s="11">
        <v>934.0</v>
      </c>
      <c r="E360" s="11">
        <v>0.5</v>
      </c>
      <c r="F360" s="11">
        <v>4.9</v>
      </c>
      <c r="G360" s="51" t="str">
        <f t="shared" si="1"/>
        <v>All races, male, 55-64 years</v>
      </c>
      <c r="H360" s="51" t="str">
        <f t="shared" si="2"/>
        <v>All races, male, 55-64 years</v>
      </c>
      <c r="I360" s="52"/>
      <c r="J360" s="5" t="str">
        <f>IFERROR(__xludf.DUMMYFUNCTION("IFERROR(SPLIT(H360, "", "", FALSE, TRUE), )"),"All races")</f>
        <v>All races</v>
      </c>
      <c r="K360" s="5" t="str">
        <f>IFERROR(__xludf.DUMMYFUNCTION("""COMPUTED_VALUE"""),"male")</f>
        <v>male</v>
      </c>
      <c r="L360" s="5" t="str">
        <f>IFERROR(__xludf.DUMMYFUNCTION("""COMPUTED_VALUE"""),"55-64 years")</f>
        <v>55-64 years</v>
      </c>
    </row>
    <row r="361">
      <c r="A361" s="57"/>
      <c r="B361" s="7" t="s">
        <v>12</v>
      </c>
      <c r="C361" s="7" t="s">
        <v>31</v>
      </c>
      <c r="D361" s="53">
        <v>28926.0</v>
      </c>
      <c r="E361" s="11">
        <v>14.0</v>
      </c>
      <c r="F361" s="11">
        <v>152.6</v>
      </c>
      <c r="G361" s="51" t="str">
        <f t="shared" si="1"/>
        <v>All races, male, 55-64 years</v>
      </c>
      <c r="H361" s="51" t="str">
        <f t="shared" si="2"/>
        <v>All races, male, 55-64 years</v>
      </c>
      <c r="I361" s="52"/>
      <c r="J361" s="5" t="str">
        <f>IFERROR(__xludf.DUMMYFUNCTION("IFERROR(SPLIT(H361, "", "", FALSE, TRUE), )"),"All races")</f>
        <v>All races</v>
      </c>
      <c r="K361" s="5" t="str">
        <f>IFERROR(__xludf.DUMMYFUNCTION("""COMPUTED_VALUE"""),"male")</f>
        <v>male</v>
      </c>
      <c r="L361" s="5" t="str">
        <f>IFERROR(__xludf.DUMMYFUNCTION("""COMPUTED_VALUE"""),"55-64 years")</f>
        <v>55-64 years</v>
      </c>
    </row>
    <row r="362">
      <c r="A362" s="55" t="s">
        <v>89</v>
      </c>
      <c r="B362" s="49" t="s">
        <v>111</v>
      </c>
      <c r="G362" s="51" t="str">
        <f t="shared" si="1"/>
        <v>All races, male, 55-64 years</v>
      </c>
      <c r="H362" s="51" t="str">
        <f t="shared" si="2"/>
        <v/>
      </c>
      <c r="I362" s="52"/>
      <c r="J362" s="5" t="str">
        <f>IFERROR(__xludf.DUMMYFUNCTION("IFERROR(SPLIT(H362, "", "", FALSE, TRUE), )"),"")</f>
        <v/>
      </c>
    </row>
    <row r="363">
      <c r="A363" s="56"/>
      <c r="B363" s="3" t="s">
        <v>3</v>
      </c>
      <c r="C363" s="3" t="s">
        <v>4</v>
      </c>
      <c r="D363" s="3" t="s">
        <v>5</v>
      </c>
      <c r="E363" s="3" t="s">
        <v>6</v>
      </c>
      <c r="F363" s="3" t="s">
        <v>7</v>
      </c>
      <c r="G363" s="51" t="str">
        <f t="shared" si="1"/>
        <v>All races, male, 65-74 years</v>
      </c>
      <c r="H363" s="51" t="str">
        <f t="shared" si="2"/>
        <v/>
      </c>
      <c r="I363" s="52"/>
      <c r="J363" s="5" t="str">
        <f>IFERROR(__xludf.DUMMYFUNCTION("IFERROR(SPLIT(H363, "", "", FALSE, TRUE), )"),"")</f>
        <v/>
      </c>
    </row>
    <row r="364">
      <c r="A364" s="57"/>
      <c r="B364" s="7" t="s">
        <v>12</v>
      </c>
      <c r="C364" s="7" t="s">
        <v>13</v>
      </c>
      <c r="D364" s="53">
        <v>257898.0</v>
      </c>
      <c r="E364" s="11">
        <v>100.0</v>
      </c>
      <c r="F364" s="54">
        <v>2186.0</v>
      </c>
      <c r="G364" s="51" t="str">
        <f t="shared" si="1"/>
        <v>All races, male, 65-74 years</v>
      </c>
      <c r="H364" s="51" t="str">
        <f t="shared" si="2"/>
        <v>All races, male, 65-74 years</v>
      </c>
      <c r="I364" s="52"/>
      <c r="J364" s="5" t="str">
        <f>IFERROR(__xludf.DUMMYFUNCTION("IFERROR(SPLIT(H364, "", "", FALSE, TRUE), )"),"All races")</f>
        <v>All races</v>
      </c>
      <c r="K364" s="5" t="str">
        <f>IFERROR(__xludf.DUMMYFUNCTION("""COMPUTED_VALUE"""),"male")</f>
        <v>male</v>
      </c>
      <c r="L364" s="5" t="str">
        <f>IFERROR(__xludf.DUMMYFUNCTION("""COMPUTED_VALUE"""),"65-74 years")</f>
        <v>65-74 years</v>
      </c>
    </row>
    <row r="365">
      <c r="A365" s="57"/>
      <c r="B365" s="11">
        <v>1.0</v>
      </c>
      <c r="C365" s="7" t="s">
        <v>17</v>
      </c>
      <c r="D365" s="53">
        <v>85669.0</v>
      </c>
      <c r="E365" s="11">
        <v>33.2</v>
      </c>
      <c r="F365" s="11">
        <v>726.2</v>
      </c>
      <c r="G365" s="51" t="str">
        <f t="shared" si="1"/>
        <v>All races, male, 65-74 years</v>
      </c>
      <c r="H365" s="51" t="str">
        <f t="shared" si="2"/>
        <v>All races, male, 65-74 years</v>
      </c>
      <c r="I365" s="52"/>
      <c r="J365" s="5" t="str">
        <f>IFERROR(__xludf.DUMMYFUNCTION("IFERROR(SPLIT(H365, "", "", FALSE, TRUE), )"),"All races")</f>
        <v>All races</v>
      </c>
      <c r="K365" s="5" t="str">
        <f>IFERROR(__xludf.DUMMYFUNCTION("""COMPUTED_VALUE"""),"male")</f>
        <v>male</v>
      </c>
      <c r="L365" s="5" t="str">
        <f>IFERROR(__xludf.DUMMYFUNCTION("""COMPUTED_VALUE"""),"65-74 years")</f>
        <v>65-74 years</v>
      </c>
    </row>
    <row r="366">
      <c r="A366" s="57"/>
      <c r="B366" s="11">
        <v>2.0</v>
      </c>
      <c r="C366" s="7" t="s">
        <v>16</v>
      </c>
      <c r="D366" s="53">
        <v>62634.0</v>
      </c>
      <c r="E366" s="11">
        <v>24.3</v>
      </c>
      <c r="F366" s="11">
        <v>530.9</v>
      </c>
      <c r="G366" s="51" t="str">
        <f t="shared" si="1"/>
        <v>All races, male, 65-74 years</v>
      </c>
      <c r="H366" s="51" t="str">
        <f t="shared" si="2"/>
        <v>All races, male, 65-74 years</v>
      </c>
      <c r="I366" s="52"/>
      <c r="J366" s="5" t="str">
        <f>IFERROR(__xludf.DUMMYFUNCTION("IFERROR(SPLIT(H366, "", "", FALSE, TRUE), )"),"All races")</f>
        <v>All races</v>
      </c>
      <c r="K366" s="5" t="str">
        <f>IFERROR(__xludf.DUMMYFUNCTION("""COMPUTED_VALUE"""),"male")</f>
        <v>male</v>
      </c>
      <c r="L366" s="5" t="str">
        <f>IFERROR(__xludf.DUMMYFUNCTION("""COMPUTED_VALUE"""),"65-74 years")</f>
        <v>65-74 years</v>
      </c>
    </row>
    <row r="367">
      <c r="A367" s="57"/>
      <c r="B367" s="11">
        <v>3.0</v>
      </c>
      <c r="C367" s="7" t="s">
        <v>18</v>
      </c>
      <c r="D367" s="53">
        <v>17925.0</v>
      </c>
      <c r="E367" s="11">
        <v>7.0</v>
      </c>
      <c r="F367" s="11">
        <v>151.9</v>
      </c>
      <c r="G367" s="51" t="str">
        <f t="shared" si="1"/>
        <v>All races, male, 65-74 years</v>
      </c>
      <c r="H367" s="51" t="str">
        <f t="shared" si="2"/>
        <v>All races, male, 65-74 years</v>
      </c>
      <c r="I367" s="52"/>
      <c r="J367" s="5" t="str">
        <f>IFERROR(__xludf.DUMMYFUNCTION("IFERROR(SPLIT(H367, "", "", FALSE, TRUE), )"),"All races")</f>
        <v>All races</v>
      </c>
      <c r="K367" s="5" t="str">
        <f>IFERROR(__xludf.DUMMYFUNCTION("""COMPUTED_VALUE"""),"male")</f>
        <v>male</v>
      </c>
      <c r="L367" s="5" t="str">
        <f>IFERROR(__xludf.DUMMYFUNCTION("""COMPUTED_VALUE"""),"65-74 years")</f>
        <v>65-74 years</v>
      </c>
    </row>
    <row r="368">
      <c r="A368" s="57"/>
      <c r="B368" s="11">
        <v>4.0</v>
      </c>
      <c r="C368" s="7" t="s">
        <v>20</v>
      </c>
      <c r="D368" s="53">
        <v>10033.0</v>
      </c>
      <c r="E368" s="11">
        <v>3.9</v>
      </c>
      <c r="F368" s="11">
        <v>85.0</v>
      </c>
      <c r="G368" s="51" t="str">
        <f t="shared" si="1"/>
        <v>All races, male, 65-74 years</v>
      </c>
      <c r="H368" s="51" t="str">
        <f t="shared" si="2"/>
        <v>All races, male, 65-74 years</v>
      </c>
      <c r="I368" s="52"/>
      <c r="J368" s="5" t="str">
        <f>IFERROR(__xludf.DUMMYFUNCTION("IFERROR(SPLIT(H368, "", "", FALSE, TRUE), )"),"All races")</f>
        <v>All races</v>
      </c>
      <c r="K368" s="5" t="str">
        <f>IFERROR(__xludf.DUMMYFUNCTION("""COMPUTED_VALUE"""),"male")</f>
        <v>male</v>
      </c>
      <c r="L368" s="5" t="str">
        <f>IFERROR(__xludf.DUMMYFUNCTION("""COMPUTED_VALUE"""),"65-74 years")</f>
        <v>65-74 years</v>
      </c>
    </row>
    <row r="369">
      <c r="A369" s="57"/>
      <c r="B369" s="11">
        <v>5.0</v>
      </c>
      <c r="C369" s="7" t="s">
        <v>22</v>
      </c>
      <c r="D369" s="53">
        <v>9857.0</v>
      </c>
      <c r="E369" s="11">
        <v>3.8</v>
      </c>
      <c r="F369" s="11">
        <v>83.6</v>
      </c>
      <c r="G369" s="51" t="str">
        <f t="shared" si="1"/>
        <v>All races, male, 65-74 years</v>
      </c>
      <c r="H369" s="51" t="str">
        <f t="shared" si="2"/>
        <v>All races, male, 65-74 years</v>
      </c>
      <c r="I369" s="52"/>
      <c r="J369" s="5" t="str">
        <f>IFERROR(__xludf.DUMMYFUNCTION("IFERROR(SPLIT(H369, "", "", FALSE, TRUE), )"),"All races")</f>
        <v>All races</v>
      </c>
      <c r="K369" s="5" t="str">
        <f>IFERROR(__xludf.DUMMYFUNCTION("""COMPUTED_VALUE"""),"male")</f>
        <v>male</v>
      </c>
      <c r="L369" s="5" t="str">
        <f>IFERROR(__xludf.DUMMYFUNCTION("""COMPUTED_VALUE"""),"65-74 years")</f>
        <v>65-74 years</v>
      </c>
    </row>
    <row r="370">
      <c r="A370" s="57"/>
      <c r="B370" s="11">
        <v>6.0</v>
      </c>
      <c r="C370" s="7" t="s">
        <v>19</v>
      </c>
      <c r="D370" s="53">
        <v>7014.0</v>
      </c>
      <c r="E370" s="11">
        <v>2.7</v>
      </c>
      <c r="F370" s="11">
        <v>59.5</v>
      </c>
      <c r="G370" s="51" t="str">
        <f t="shared" si="1"/>
        <v>All races, male, 65-74 years</v>
      </c>
      <c r="H370" s="51" t="str">
        <f t="shared" si="2"/>
        <v>All races, male, 65-74 years</v>
      </c>
      <c r="I370" s="52"/>
      <c r="J370" s="5" t="str">
        <f>IFERROR(__xludf.DUMMYFUNCTION("IFERROR(SPLIT(H370, "", "", FALSE, TRUE), )"),"All races")</f>
        <v>All races</v>
      </c>
      <c r="K370" s="5" t="str">
        <f>IFERROR(__xludf.DUMMYFUNCTION("""COMPUTED_VALUE"""),"male")</f>
        <v>male</v>
      </c>
      <c r="L370" s="5" t="str">
        <f>IFERROR(__xludf.DUMMYFUNCTION("""COMPUTED_VALUE"""),"65-74 years")</f>
        <v>65-74 years</v>
      </c>
    </row>
    <row r="371">
      <c r="A371" s="57"/>
      <c r="B371" s="11">
        <v>7.0</v>
      </c>
      <c r="C371" s="7" t="s">
        <v>27</v>
      </c>
      <c r="D371" s="53">
        <v>4531.0</v>
      </c>
      <c r="E371" s="11">
        <v>1.8</v>
      </c>
      <c r="F371" s="11">
        <v>38.4</v>
      </c>
      <c r="G371" s="51" t="str">
        <f t="shared" si="1"/>
        <v>All races, male, 65-74 years</v>
      </c>
      <c r="H371" s="51" t="str">
        <f t="shared" si="2"/>
        <v>All races, male, 65-74 years</v>
      </c>
      <c r="I371" s="52"/>
      <c r="J371" s="5" t="str">
        <f>IFERROR(__xludf.DUMMYFUNCTION("IFERROR(SPLIT(H371, "", "", FALSE, TRUE), )"),"All races")</f>
        <v>All races</v>
      </c>
      <c r="K371" s="5" t="str">
        <f>IFERROR(__xludf.DUMMYFUNCTION("""COMPUTED_VALUE"""),"male")</f>
        <v>male</v>
      </c>
      <c r="L371" s="5" t="str">
        <f>IFERROR(__xludf.DUMMYFUNCTION("""COMPUTED_VALUE"""),"65-74 years")</f>
        <v>65-74 years</v>
      </c>
    </row>
    <row r="372">
      <c r="A372" s="57"/>
      <c r="B372" s="11">
        <v>8.0</v>
      </c>
      <c r="C372" s="7" t="s">
        <v>24</v>
      </c>
      <c r="D372" s="53">
        <v>4469.0</v>
      </c>
      <c r="E372" s="11">
        <v>1.7</v>
      </c>
      <c r="F372" s="11">
        <v>37.9</v>
      </c>
      <c r="G372" s="51" t="str">
        <f t="shared" si="1"/>
        <v>All races, male, 65-74 years</v>
      </c>
      <c r="H372" s="51" t="str">
        <f t="shared" si="2"/>
        <v>All races, male, 65-74 years</v>
      </c>
      <c r="I372" s="52"/>
      <c r="J372" s="5" t="str">
        <f>IFERROR(__xludf.DUMMYFUNCTION("IFERROR(SPLIT(H372, "", "", FALSE, TRUE), )"),"All races")</f>
        <v>All races</v>
      </c>
      <c r="K372" s="5" t="str">
        <f>IFERROR(__xludf.DUMMYFUNCTION("""COMPUTED_VALUE"""),"male")</f>
        <v>male</v>
      </c>
      <c r="L372" s="5" t="str">
        <f>IFERROR(__xludf.DUMMYFUNCTION("""COMPUTED_VALUE"""),"65-74 years")</f>
        <v>65-74 years</v>
      </c>
    </row>
    <row r="373">
      <c r="A373" s="57"/>
      <c r="B373" s="11">
        <v>9.0</v>
      </c>
      <c r="C373" s="7" t="s">
        <v>23</v>
      </c>
      <c r="D373" s="53">
        <v>4131.0</v>
      </c>
      <c r="E373" s="11">
        <v>1.6</v>
      </c>
      <c r="F373" s="11">
        <v>35.0</v>
      </c>
      <c r="G373" s="51" t="str">
        <f t="shared" si="1"/>
        <v>All races, male, 65-74 years</v>
      </c>
      <c r="H373" s="51" t="str">
        <f t="shared" si="2"/>
        <v>All races, male, 65-74 years</v>
      </c>
      <c r="I373" s="52"/>
      <c r="J373" s="5" t="str">
        <f>IFERROR(__xludf.DUMMYFUNCTION("IFERROR(SPLIT(H373, "", "", FALSE, TRUE), )"),"All races")</f>
        <v>All races</v>
      </c>
      <c r="K373" s="5" t="str">
        <f>IFERROR(__xludf.DUMMYFUNCTION("""COMPUTED_VALUE"""),"male")</f>
        <v>male</v>
      </c>
      <c r="L373" s="5" t="str">
        <f>IFERROR(__xludf.DUMMYFUNCTION("""COMPUTED_VALUE"""),"65-74 years")</f>
        <v>65-74 years</v>
      </c>
    </row>
    <row r="374">
      <c r="A374" s="57"/>
      <c r="B374" s="11">
        <v>10.0</v>
      </c>
      <c r="C374" s="7" t="s">
        <v>26</v>
      </c>
      <c r="D374" s="53">
        <v>4002.0</v>
      </c>
      <c r="E374" s="11">
        <v>1.6</v>
      </c>
      <c r="F374" s="11">
        <v>33.9</v>
      </c>
      <c r="G374" s="51" t="str">
        <f t="shared" si="1"/>
        <v>All races, male, 65-74 years</v>
      </c>
      <c r="H374" s="51" t="str">
        <f t="shared" si="2"/>
        <v>All races, male, 65-74 years</v>
      </c>
      <c r="I374" s="52"/>
      <c r="J374" s="5" t="str">
        <f>IFERROR(__xludf.DUMMYFUNCTION("IFERROR(SPLIT(H374, "", "", FALSE, TRUE), )"),"All races")</f>
        <v>All races</v>
      </c>
      <c r="K374" s="5" t="str">
        <f>IFERROR(__xludf.DUMMYFUNCTION("""COMPUTED_VALUE"""),"male")</f>
        <v>male</v>
      </c>
      <c r="L374" s="5" t="str">
        <f>IFERROR(__xludf.DUMMYFUNCTION("""COMPUTED_VALUE"""),"65-74 years")</f>
        <v>65-74 years</v>
      </c>
    </row>
    <row r="375">
      <c r="A375" s="57"/>
      <c r="B375" s="11">
        <v>11.0</v>
      </c>
      <c r="C375" s="7" t="s">
        <v>25</v>
      </c>
      <c r="D375" s="53">
        <v>3072.0</v>
      </c>
      <c r="E375" s="11">
        <v>1.2</v>
      </c>
      <c r="F375" s="11">
        <v>26.0</v>
      </c>
      <c r="G375" s="51" t="str">
        <f t="shared" si="1"/>
        <v>All races, male, 65-74 years</v>
      </c>
      <c r="H375" s="51" t="str">
        <f t="shared" si="2"/>
        <v>All races, male, 65-74 years</v>
      </c>
      <c r="I375" s="52"/>
      <c r="J375" s="5" t="str">
        <f>IFERROR(__xludf.DUMMYFUNCTION("IFERROR(SPLIT(H375, "", "", FALSE, TRUE), )"),"All races")</f>
        <v>All races</v>
      </c>
      <c r="K375" s="5" t="str">
        <f>IFERROR(__xludf.DUMMYFUNCTION("""COMPUTED_VALUE"""),"male")</f>
        <v>male</v>
      </c>
      <c r="L375" s="5" t="str">
        <f>IFERROR(__xludf.DUMMYFUNCTION("""COMPUTED_VALUE"""),"65-74 years")</f>
        <v>65-74 years</v>
      </c>
    </row>
    <row r="376">
      <c r="A376" s="57"/>
      <c r="B376" s="11">
        <v>12.0</v>
      </c>
      <c r="C376" s="7" t="s">
        <v>28</v>
      </c>
      <c r="D376" s="53">
        <v>2359.0</v>
      </c>
      <c r="E376" s="11">
        <v>0.9</v>
      </c>
      <c r="F376" s="11">
        <v>20.0</v>
      </c>
      <c r="G376" s="51" t="str">
        <f t="shared" si="1"/>
        <v>All races, male, 65-74 years</v>
      </c>
      <c r="H376" s="51" t="str">
        <f t="shared" si="2"/>
        <v>All races, male, 65-74 years</v>
      </c>
      <c r="I376" s="52"/>
      <c r="J376" s="5" t="str">
        <f>IFERROR(__xludf.DUMMYFUNCTION("IFERROR(SPLIT(H376, "", "", FALSE, TRUE), )"),"All races")</f>
        <v>All races</v>
      </c>
      <c r="K376" s="5" t="str">
        <f>IFERROR(__xludf.DUMMYFUNCTION("""COMPUTED_VALUE"""),"male")</f>
        <v>male</v>
      </c>
      <c r="L376" s="5" t="str">
        <f>IFERROR(__xludf.DUMMYFUNCTION("""COMPUTED_VALUE"""),"65-74 years")</f>
        <v>65-74 years</v>
      </c>
    </row>
    <row r="377">
      <c r="A377" s="57"/>
      <c r="B377" s="11">
        <v>13.0</v>
      </c>
      <c r="C377" s="7" t="s">
        <v>29</v>
      </c>
      <c r="D377" s="53">
        <v>2160.0</v>
      </c>
      <c r="E377" s="11">
        <v>0.8</v>
      </c>
      <c r="F377" s="11">
        <v>18.3</v>
      </c>
      <c r="G377" s="51" t="str">
        <f t="shared" si="1"/>
        <v>All races, male, 65-74 years</v>
      </c>
      <c r="H377" s="51" t="str">
        <f t="shared" si="2"/>
        <v>All races, male, 65-74 years</v>
      </c>
      <c r="I377" s="52"/>
      <c r="J377" s="5" t="str">
        <f>IFERROR(__xludf.DUMMYFUNCTION("IFERROR(SPLIT(H377, "", "", FALSE, TRUE), )"),"All races")</f>
        <v>All races</v>
      </c>
      <c r="K377" s="5" t="str">
        <f>IFERROR(__xludf.DUMMYFUNCTION("""COMPUTED_VALUE"""),"male")</f>
        <v>male</v>
      </c>
      <c r="L377" s="5" t="str">
        <f>IFERROR(__xludf.DUMMYFUNCTION("""COMPUTED_VALUE"""),"65-74 years")</f>
        <v>65-74 years</v>
      </c>
    </row>
    <row r="378">
      <c r="A378" s="57"/>
      <c r="B378" s="11">
        <v>14.0</v>
      </c>
      <c r="C378" s="7" t="s">
        <v>21</v>
      </c>
      <c r="D378" s="53">
        <v>1984.0</v>
      </c>
      <c r="E378" s="11">
        <v>0.8</v>
      </c>
      <c r="F378" s="11">
        <v>16.8</v>
      </c>
      <c r="G378" s="51" t="str">
        <f t="shared" si="1"/>
        <v>All races, male, 65-74 years</v>
      </c>
      <c r="H378" s="51" t="str">
        <f t="shared" si="2"/>
        <v>All races, male, 65-74 years</v>
      </c>
      <c r="I378" s="52"/>
      <c r="J378" s="5" t="str">
        <f>IFERROR(__xludf.DUMMYFUNCTION("IFERROR(SPLIT(H378, "", "", FALSE, TRUE), )"),"All races")</f>
        <v>All races</v>
      </c>
      <c r="K378" s="5" t="str">
        <f>IFERROR(__xludf.DUMMYFUNCTION("""COMPUTED_VALUE"""),"male")</f>
        <v>male</v>
      </c>
      <c r="L378" s="5" t="str">
        <f>IFERROR(__xludf.DUMMYFUNCTION("""COMPUTED_VALUE"""),"65-74 years")</f>
        <v>65-74 years</v>
      </c>
    </row>
    <row r="379">
      <c r="A379" s="57"/>
      <c r="B379" s="11">
        <v>15.0</v>
      </c>
      <c r="C379" s="7" t="s">
        <v>35</v>
      </c>
      <c r="D379" s="53">
        <v>1657.0</v>
      </c>
      <c r="E379" s="11">
        <v>0.6</v>
      </c>
      <c r="F379" s="11">
        <v>14.0</v>
      </c>
      <c r="G379" s="51" t="str">
        <f t="shared" si="1"/>
        <v>All races, male, 65-74 years</v>
      </c>
      <c r="H379" s="51" t="str">
        <f t="shared" si="2"/>
        <v>All races, male, 65-74 years</v>
      </c>
      <c r="I379" s="52"/>
      <c r="J379" s="5" t="str">
        <f>IFERROR(__xludf.DUMMYFUNCTION("IFERROR(SPLIT(H379, "", "", FALSE, TRUE), )"),"All races")</f>
        <v>All races</v>
      </c>
      <c r="K379" s="5" t="str">
        <f>IFERROR(__xludf.DUMMYFUNCTION("""COMPUTED_VALUE"""),"male")</f>
        <v>male</v>
      </c>
      <c r="L379" s="5" t="str">
        <f>IFERROR(__xludf.DUMMYFUNCTION("""COMPUTED_VALUE"""),"65-74 years")</f>
        <v>65-74 years</v>
      </c>
    </row>
    <row r="380">
      <c r="A380" s="57"/>
      <c r="B380" s="7" t="s">
        <v>12</v>
      </c>
      <c r="C380" s="7" t="s">
        <v>31</v>
      </c>
      <c r="D380" s="53">
        <v>36401.0</v>
      </c>
      <c r="E380" s="11">
        <v>14.1</v>
      </c>
      <c r="F380" s="11">
        <v>308.5</v>
      </c>
      <c r="G380" s="51" t="str">
        <f t="shared" si="1"/>
        <v>All races, male, 65-74 years</v>
      </c>
      <c r="H380" s="51" t="str">
        <f t="shared" si="2"/>
        <v>All races, male, 65-74 years</v>
      </c>
      <c r="I380" s="52"/>
      <c r="J380" s="5" t="str">
        <f>IFERROR(__xludf.DUMMYFUNCTION("IFERROR(SPLIT(H380, "", "", FALSE, TRUE), )"),"All races")</f>
        <v>All races</v>
      </c>
      <c r="K380" s="5" t="str">
        <f>IFERROR(__xludf.DUMMYFUNCTION("""COMPUTED_VALUE"""),"male")</f>
        <v>male</v>
      </c>
      <c r="L380" s="5" t="str">
        <f>IFERROR(__xludf.DUMMYFUNCTION("""COMPUTED_VALUE"""),"65-74 years")</f>
        <v>65-74 years</v>
      </c>
    </row>
    <row r="381">
      <c r="G381" s="58"/>
      <c r="H381" s="58"/>
    </row>
    <row r="382">
      <c r="G382" s="58"/>
      <c r="H382" s="58"/>
    </row>
    <row r="383">
      <c r="G383" s="58"/>
      <c r="H383" s="58"/>
    </row>
    <row r="384">
      <c r="G384" s="58"/>
      <c r="H384" s="58"/>
    </row>
    <row r="385">
      <c r="G385" s="58"/>
      <c r="H385" s="58"/>
    </row>
    <row r="386">
      <c r="G386" s="58"/>
      <c r="H386" s="58"/>
    </row>
    <row r="387">
      <c r="G387" s="58"/>
      <c r="H387" s="58"/>
    </row>
    <row r="388">
      <c r="G388" s="58"/>
      <c r="H388" s="58"/>
    </row>
    <row r="389">
      <c r="G389" s="58"/>
      <c r="H389" s="58"/>
    </row>
    <row r="390">
      <c r="G390" s="58"/>
      <c r="H390" s="58"/>
    </row>
    <row r="391">
      <c r="G391" s="58"/>
      <c r="H391" s="58"/>
    </row>
    <row r="392">
      <c r="G392" s="58"/>
      <c r="H392" s="58"/>
    </row>
    <row r="393">
      <c r="G393" s="58"/>
      <c r="H393" s="58"/>
    </row>
    <row r="394">
      <c r="G394" s="58"/>
      <c r="H394" s="58"/>
    </row>
    <row r="395">
      <c r="G395" s="58"/>
      <c r="H395" s="58"/>
    </row>
    <row r="396">
      <c r="G396" s="58"/>
      <c r="H396" s="58"/>
    </row>
    <row r="397">
      <c r="G397" s="58"/>
      <c r="H397" s="58"/>
    </row>
    <row r="398">
      <c r="G398" s="58"/>
      <c r="H398" s="58"/>
    </row>
    <row r="399">
      <c r="G399" s="58"/>
      <c r="H399" s="58"/>
    </row>
    <row r="400">
      <c r="G400" s="58"/>
      <c r="H400" s="58"/>
    </row>
    <row r="401">
      <c r="G401" s="58"/>
      <c r="H401" s="58"/>
    </row>
    <row r="402">
      <c r="G402" s="58"/>
      <c r="H402" s="58"/>
    </row>
    <row r="403">
      <c r="G403" s="58"/>
      <c r="H403" s="58"/>
    </row>
    <row r="404">
      <c r="G404" s="58"/>
      <c r="H404" s="58"/>
    </row>
    <row r="405">
      <c r="G405" s="58"/>
      <c r="H405" s="58"/>
    </row>
    <row r="406">
      <c r="G406" s="58"/>
      <c r="H406" s="58"/>
    </row>
    <row r="407">
      <c r="G407" s="58"/>
      <c r="H407" s="58"/>
    </row>
    <row r="408">
      <c r="G408" s="58"/>
      <c r="H408" s="58"/>
    </row>
    <row r="409">
      <c r="G409" s="58"/>
      <c r="H409" s="58"/>
    </row>
    <row r="410">
      <c r="G410" s="58"/>
      <c r="H410" s="58"/>
    </row>
    <row r="411">
      <c r="G411" s="58"/>
      <c r="H411" s="58"/>
    </row>
    <row r="412">
      <c r="G412" s="58"/>
      <c r="H412" s="58"/>
    </row>
    <row r="413">
      <c r="G413" s="58"/>
      <c r="H413" s="58"/>
    </row>
    <row r="414">
      <c r="G414" s="58"/>
      <c r="H414" s="58"/>
    </row>
    <row r="415">
      <c r="G415" s="58"/>
      <c r="H415" s="58"/>
    </row>
    <row r="416">
      <c r="G416" s="58"/>
      <c r="H416" s="58"/>
    </row>
    <row r="417">
      <c r="G417" s="58"/>
      <c r="H417" s="58"/>
    </row>
    <row r="418">
      <c r="G418" s="58"/>
      <c r="H418" s="58"/>
    </row>
    <row r="419">
      <c r="G419" s="58"/>
      <c r="H419" s="58"/>
    </row>
    <row r="420">
      <c r="G420" s="58"/>
      <c r="H420" s="58"/>
    </row>
    <row r="421">
      <c r="G421" s="58"/>
      <c r="H421" s="58"/>
    </row>
    <row r="422">
      <c r="G422" s="58"/>
      <c r="H422" s="58"/>
    </row>
    <row r="423">
      <c r="G423" s="58"/>
      <c r="H423" s="58"/>
    </row>
    <row r="424">
      <c r="G424" s="58"/>
      <c r="H424" s="58"/>
    </row>
    <row r="425">
      <c r="G425" s="58"/>
      <c r="H425" s="58"/>
    </row>
    <row r="426">
      <c r="G426" s="58"/>
      <c r="H426" s="58"/>
    </row>
    <row r="427">
      <c r="G427" s="58"/>
      <c r="H427" s="58"/>
    </row>
    <row r="428">
      <c r="G428" s="58"/>
      <c r="H428" s="58"/>
    </row>
    <row r="429">
      <c r="G429" s="58"/>
      <c r="H429" s="58"/>
    </row>
    <row r="430">
      <c r="G430" s="58"/>
      <c r="H430" s="58"/>
    </row>
    <row r="431">
      <c r="G431" s="58"/>
      <c r="H431" s="58"/>
    </row>
    <row r="432">
      <c r="G432" s="58"/>
      <c r="H432" s="58"/>
    </row>
    <row r="433">
      <c r="G433" s="58"/>
      <c r="H433" s="58"/>
    </row>
    <row r="434">
      <c r="G434" s="58"/>
      <c r="H434" s="58"/>
    </row>
    <row r="435">
      <c r="G435" s="58"/>
      <c r="H435" s="58"/>
    </row>
    <row r="436">
      <c r="G436" s="58"/>
      <c r="H436" s="58"/>
    </row>
    <row r="437">
      <c r="G437" s="58"/>
      <c r="H437" s="58"/>
    </row>
    <row r="438">
      <c r="G438" s="58"/>
      <c r="H438" s="58"/>
    </row>
    <row r="439">
      <c r="G439" s="58"/>
      <c r="H439" s="58"/>
    </row>
    <row r="440">
      <c r="G440" s="58"/>
      <c r="H440" s="58"/>
    </row>
    <row r="441">
      <c r="G441" s="58"/>
      <c r="H441" s="58"/>
    </row>
    <row r="442">
      <c r="G442" s="58"/>
      <c r="H442" s="58"/>
    </row>
    <row r="443">
      <c r="G443" s="58"/>
      <c r="H443" s="58"/>
    </row>
    <row r="444">
      <c r="G444" s="58"/>
      <c r="H444" s="58"/>
    </row>
    <row r="445">
      <c r="G445" s="58"/>
      <c r="H445" s="58"/>
    </row>
    <row r="446">
      <c r="G446" s="58"/>
      <c r="H446" s="58"/>
    </row>
    <row r="447">
      <c r="G447" s="58"/>
      <c r="H447" s="58"/>
    </row>
    <row r="448">
      <c r="G448" s="58"/>
      <c r="H448" s="58"/>
    </row>
    <row r="449">
      <c r="G449" s="58"/>
      <c r="H449" s="58"/>
    </row>
    <row r="450">
      <c r="G450" s="58"/>
      <c r="H450" s="58"/>
    </row>
    <row r="451">
      <c r="G451" s="58"/>
      <c r="H451" s="58"/>
    </row>
    <row r="452">
      <c r="G452" s="58"/>
      <c r="H452" s="58"/>
    </row>
    <row r="453">
      <c r="G453" s="58"/>
      <c r="H453" s="58"/>
    </row>
    <row r="454">
      <c r="G454" s="58"/>
      <c r="H454" s="58"/>
    </row>
    <row r="455">
      <c r="G455" s="58"/>
      <c r="H455" s="58"/>
    </row>
    <row r="456">
      <c r="G456" s="58"/>
      <c r="H456" s="58"/>
    </row>
    <row r="457">
      <c r="G457" s="58"/>
      <c r="H457" s="58"/>
    </row>
    <row r="458">
      <c r="G458" s="58"/>
      <c r="H458" s="58"/>
    </row>
    <row r="459">
      <c r="G459" s="58"/>
      <c r="H459" s="58"/>
    </row>
    <row r="460">
      <c r="G460" s="58"/>
      <c r="H460" s="58"/>
    </row>
    <row r="461">
      <c r="G461" s="58"/>
      <c r="H461" s="58"/>
    </row>
    <row r="462">
      <c r="G462" s="58"/>
      <c r="H462" s="58"/>
    </row>
    <row r="463">
      <c r="G463" s="58"/>
      <c r="H463" s="58"/>
    </row>
    <row r="464">
      <c r="G464" s="58"/>
      <c r="H464" s="58"/>
    </row>
    <row r="465">
      <c r="G465" s="58"/>
      <c r="H465" s="58"/>
    </row>
    <row r="466">
      <c r="G466" s="58"/>
      <c r="H466" s="58"/>
    </row>
    <row r="467">
      <c r="G467" s="58"/>
      <c r="H467" s="58"/>
    </row>
    <row r="468">
      <c r="G468" s="58"/>
      <c r="H468" s="58"/>
    </row>
    <row r="469">
      <c r="G469" s="58"/>
      <c r="H469" s="58"/>
    </row>
    <row r="470">
      <c r="G470" s="58"/>
      <c r="H470" s="58"/>
    </row>
    <row r="471">
      <c r="G471" s="58"/>
      <c r="H471" s="58"/>
    </row>
    <row r="472">
      <c r="G472" s="58"/>
      <c r="H472" s="58"/>
    </row>
    <row r="473">
      <c r="G473" s="58"/>
      <c r="H473" s="58"/>
    </row>
    <row r="474">
      <c r="G474" s="58"/>
      <c r="H474" s="58"/>
    </row>
    <row r="475">
      <c r="G475" s="58"/>
      <c r="H475" s="58"/>
    </row>
    <row r="476">
      <c r="G476" s="58"/>
      <c r="H476" s="58"/>
    </row>
    <row r="477">
      <c r="G477" s="58"/>
      <c r="H477" s="58"/>
    </row>
    <row r="478">
      <c r="G478" s="58"/>
      <c r="H478" s="58"/>
    </row>
    <row r="479">
      <c r="G479" s="58"/>
      <c r="H479" s="58"/>
    </row>
    <row r="480">
      <c r="G480" s="58"/>
      <c r="H480" s="58"/>
    </row>
    <row r="481">
      <c r="G481" s="58"/>
      <c r="H481" s="58"/>
    </row>
    <row r="482">
      <c r="G482" s="58"/>
      <c r="H482" s="58"/>
    </row>
    <row r="483">
      <c r="G483" s="58"/>
      <c r="H483" s="58"/>
    </row>
    <row r="484">
      <c r="G484" s="58"/>
      <c r="H484" s="58"/>
    </row>
    <row r="485">
      <c r="G485" s="58"/>
      <c r="H485" s="58"/>
    </row>
    <row r="486">
      <c r="G486" s="58"/>
      <c r="H486" s="58"/>
    </row>
    <row r="487">
      <c r="G487" s="58"/>
      <c r="H487" s="58"/>
    </row>
    <row r="488">
      <c r="G488" s="58"/>
      <c r="H488" s="58"/>
    </row>
    <row r="489">
      <c r="G489" s="58"/>
      <c r="H489" s="58"/>
    </row>
    <row r="490">
      <c r="G490" s="58"/>
      <c r="H490" s="58"/>
    </row>
    <row r="491">
      <c r="G491" s="58"/>
      <c r="H491" s="58"/>
    </row>
    <row r="492">
      <c r="G492" s="58"/>
      <c r="H492" s="58"/>
    </row>
    <row r="493">
      <c r="G493" s="58"/>
      <c r="H493" s="58"/>
    </row>
    <row r="494">
      <c r="G494" s="58"/>
      <c r="H494" s="58"/>
    </row>
    <row r="495">
      <c r="G495" s="58"/>
      <c r="H495" s="58"/>
    </row>
    <row r="496">
      <c r="G496" s="58"/>
      <c r="H496" s="58"/>
    </row>
    <row r="497">
      <c r="G497" s="58"/>
      <c r="H497" s="58"/>
    </row>
    <row r="498">
      <c r="G498" s="58"/>
      <c r="H498" s="58"/>
    </row>
    <row r="499">
      <c r="G499" s="58"/>
      <c r="H499" s="58"/>
    </row>
    <row r="500">
      <c r="G500" s="58"/>
      <c r="H500" s="58"/>
    </row>
    <row r="501">
      <c r="G501" s="58"/>
      <c r="H501" s="58"/>
    </row>
    <row r="502">
      <c r="G502" s="58"/>
      <c r="H502" s="58"/>
    </row>
    <row r="503">
      <c r="G503" s="58"/>
      <c r="H503" s="58"/>
    </row>
    <row r="504">
      <c r="G504" s="58"/>
      <c r="H504" s="58"/>
    </row>
    <row r="505">
      <c r="G505" s="58"/>
      <c r="H505" s="58"/>
    </row>
    <row r="506">
      <c r="G506" s="58"/>
      <c r="H506" s="58"/>
    </row>
    <row r="507">
      <c r="G507" s="58"/>
      <c r="H507" s="58"/>
    </row>
    <row r="508">
      <c r="G508" s="58"/>
      <c r="H508" s="58"/>
    </row>
    <row r="509">
      <c r="G509" s="58"/>
      <c r="H509" s="58"/>
    </row>
    <row r="510">
      <c r="G510" s="58"/>
      <c r="H510" s="58"/>
    </row>
    <row r="511">
      <c r="G511" s="58"/>
      <c r="H511" s="58"/>
    </row>
    <row r="512">
      <c r="G512" s="58"/>
      <c r="H512" s="58"/>
    </row>
    <row r="513">
      <c r="G513" s="58"/>
      <c r="H513" s="58"/>
    </row>
    <row r="514">
      <c r="G514" s="58"/>
      <c r="H514" s="58"/>
    </row>
    <row r="515">
      <c r="G515" s="58"/>
      <c r="H515" s="58"/>
    </row>
    <row r="516">
      <c r="G516" s="58"/>
      <c r="H516" s="58"/>
    </row>
    <row r="517">
      <c r="G517" s="58"/>
      <c r="H517" s="58"/>
    </row>
    <row r="518">
      <c r="G518" s="58"/>
      <c r="H518" s="58"/>
    </row>
    <row r="519">
      <c r="G519" s="58"/>
      <c r="H519" s="58"/>
    </row>
    <row r="520">
      <c r="G520" s="58"/>
      <c r="H520" s="58"/>
    </row>
    <row r="521">
      <c r="G521" s="58"/>
      <c r="H521" s="58"/>
    </row>
    <row r="522">
      <c r="G522" s="58"/>
      <c r="H522" s="58"/>
    </row>
    <row r="523">
      <c r="G523" s="58"/>
      <c r="H523" s="58"/>
    </row>
    <row r="524">
      <c r="G524" s="58"/>
      <c r="H524" s="58"/>
    </row>
    <row r="525">
      <c r="G525" s="58"/>
      <c r="H525" s="58"/>
    </row>
    <row r="526">
      <c r="G526" s="58"/>
      <c r="H526" s="58"/>
    </row>
    <row r="527">
      <c r="G527" s="58"/>
      <c r="H527" s="58"/>
    </row>
    <row r="528">
      <c r="G528" s="58"/>
      <c r="H528" s="58"/>
    </row>
    <row r="529">
      <c r="G529" s="58"/>
      <c r="H529" s="58"/>
    </row>
    <row r="530">
      <c r="G530" s="58"/>
      <c r="H530" s="58"/>
    </row>
    <row r="531">
      <c r="G531" s="58"/>
      <c r="H531" s="58"/>
    </row>
    <row r="532">
      <c r="G532" s="58"/>
      <c r="H532" s="58"/>
    </row>
    <row r="533">
      <c r="G533" s="58"/>
      <c r="H533" s="58"/>
    </row>
    <row r="534">
      <c r="G534" s="58"/>
      <c r="H534" s="58"/>
    </row>
    <row r="535">
      <c r="G535" s="58"/>
      <c r="H535" s="58"/>
    </row>
    <row r="536">
      <c r="G536" s="58"/>
      <c r="H536" s="58"/>
    </row>
    <row r="537">
      <c r="G537" s="58"/>
      <c r="H537" s="58"/>
    </row>
    <row r="538">
      <c r="G538" s="58"/>
      <c r="H538" s="58"/>
    </row>
    <row r="539">
      <c r="G539" s="58"/>
      <c r="H539" s="58"/>
    </row>
    <row r="540">
      <c r="G540" s="58"/>
      <c r="H540" s="58"/>
    </row>
    <row r="541">
      <c r="G541" s="58"/>
      <c r="H541" s="58"/>
    </row>
    <row r="542">
      <c r="G542" s="58"/>
      <c r="H542" s="58"/>
    </row>
    <row r="543">
      <c r="G543" s="58"/>
      <c r="H543" s="58"/>
    </row>
    <row r="544">
      <c r="G544" s="58"/>
      <c r="H544" s="58"/>
    </row>
    <row r="545">
      <c r="G545" s="58"/>
      <c r="H545" s="58"/>
    </row>
    <row r="546">
      <c r="G546" s="58"/>
      <c r="H546" s="58"/>
    </row>
    <row r="547">
      <c r="G547" s="58"/>
      <c r="H547" s="58"/>
    </row>
    <row r="548">
      <c r="G548" s="58"/>
      <c r="H548" s="58"/>
    </row>
    <row r="549">
      <c r="G549" s="58"/>
      <c r="H549" s="58"/>
    </row>
    <row r="550">
      <c r="G550" s="58"/>
      <c r="H550" s="58"/>
    </row>
    <row r="551">
      <c r="G551" s="58"/>
      <c r="H551" s="58"/>
    </row>
    <row r="552">
      <c r="G552" s="58"/>
      <c r="H552" s="58"/>
    </row>
    <row r="553">
      <c r="G553" s="58"/>
      <c r="H553" s="58"/>
    </row>
    <row r="554">
      <c r="G554" s="58"/>
      <c r="H554" s="58"/>
    </row>
    <row r="555">
      <c r="G555" s="58"/>
      <c r="H555" s="58"/>
    </row>
    <row r="556">
      <c r="G556" s="58"/>
      <c r="H556" s="58"/>
    </row>
    <row r="557">
      <c r="G557" s="58"/>
      <c r="H557" s="58"/>
    </row>
    <row r="558">
      <c r="G558" s="58"/>
      <c r="H558" s="58"/>
    </row>
    <row r="559">
      <c r="G559" s="58"/>
      <c r="H559" s="58"/>
    </row>
    <row r="560">
      <c r="G560" s="58"/>
      <c r="H560" s="58"/>
    </row>
    <row r="561">
      <c r="G561" s="58"/>
      <c r="H561" s="58"/>
    </row>
    <row r="562">
      <c r="G562" s="58"/>
      <c r="H562" s="58"/>
    </row>
    <row r="563">
      <c r="G563" s="58"/>
      <c r="H563" s="58"/>
    </row>
    <row r="564">
      <c r="G564" s="58"/>
      <c r="H564" s="58"/>
    </row>
    <row r="565">
      <c r="G565" s="58"/>
      <c r="H565" s="58"/>
    </row>
    <row r="566">
      <c r="G566" s="58"/>
      <c r="H566" s="58"/>
    </row>
    <row r="567">
      <c r="G567" s="58"/>
      <c r="H567" s="58"/>
    </row>
    <row r="568">
      <c r="G568" s="58"/>
      <c r="H568" s="58"/>
    </row>
    <row r="569">
      <c r="G569" s="58"/>
      <c r="H569" s="58"/>
    </row>
    <row r="570">
      <c r="G570" s="58"/>
      <c r="H570" s="58"/>
    </row>
    <row r="571">
      <c r="G571" s="58"/>
      <c r="H571" s="58"/>
    </row>
    <row r="572">
      <c r="G572" s="58"/>
      <c r="H572" s="58"/>
    </row>
    <row r="573">
      <c r="G573" s="58"/>
      <c r="H573" s="58"/>
    </row>
    <row r="574">
      <c r="G574" s="58"/>
      <c r="H574" s="58"/>
    </row>
    <row r="575">
      <c r="G575" s="58"/>
      <c r="H575" s="58"/>
    </row>
    <row r="576">
      <c r="G576" s="58"/>
      <c r="H576" s="58"/>
    </row>
    <row r="577">
      <c r="G577" s="58"/>
      <c r="H577" s="58"/>
    </row>
    <row r="578">
      <c r="G578" s="58"/>
      <c r="H578" s="58"/>
    </row>
    <row r="579">
      <c r="G579" s="58"/>
      <c r="H579" s="58"/>
    </row>
    <row r="580">
      <c r="G580" s="58"/>
      <c r="H580" s="58"/>
    </row>
    <row r="581">
      <c r="G581" s="58"/>
      <c r="H581" s="58"/>
    </row>
    <row r="582">
      <c r="G582" s="58"/>
      <c r="H582" s="58"/>
    </row>
    <row r="583">
      <c r="G583" s="58"/>
      <c r="H583" s="58"/>
    </row>
    <row r="584">
      <c r="G584" s="58"/>
      <c r="H584" s="58"/>
    </row>
    <row r="585">
      <c r="G585" s="58"/>
      <c r="H585" s="58"/>
    </row>
    <row r="586">
      <c r="G586" s="58"/>
      <c r="H586" s="58"/>
    </row>
    <row r="587">
      <c r="G587" s="58"/>
      <c r="H587" s="58"/>
    </row>
    <row r="588">
      <c r="G588" s="58"/>
      <c r="H588" s="58"/>
    </row>
    <row r="589">
      <c r="G589" s="58"/>
      <c r="H589" s="58"/>
    </row>
    <row r="590">
      <c r="G590" s="58"/>
      <c r="H590" s="58"/>
    </row>
    <row r="591">
      <c r="G591" s="58"/>
      <c r="H591" s="58"/>
    </row>
    <row r="592">
      <c r="G592" s="58"/>
      <c r="H592" s="58"/>
    </row>
    <row r="593">
      <c r="G593" s="58"/>
      <c r="H593" s="58"/>
    </row>
    <row r="594">
      <c r="G594" s="58"/>
      <c r="H594" s="58"/>
    </row>
    <row r="595">
      <c r="G595" s="58"/>
      <c r="H595" s="58"/>
    </row>
    <row r="596">
      <c r="G596" s="58"/>
      <c r="H596" s="58"/>
    </row>
    <row r="597">
      <c r="G597" s="58"/>
      <c r="H597" s="58"/>
    </row>
    <row r="598">
      <c r="G598" s="58"/>
      <c r="H598" s="58"/>
    </row>
    <row r="599">
      <c r="G599" s="58"/>
      <c r="H599" s="58"/>
    </row>
    <row r="600">
      <c r="G600" s="58"/>
      <c r="H600" s="58"/>
    </row>
    <row r="601">
      <c r="G601" s="58"/>
      <c r="H601" s="58"/>
    </row>
    <row r="602">
      <c r="G602" s="58"/>
      <c r="H602" s="58"/>
    </row>
    <row r="603">
      <c r="G603" s="58"/>
      <c r="H603" s="58"/>
    </row>
    <row r="604">
      <c r="G604" s="58"/>
      <c r="H604" s="58"/>
    </row>
    <row r="605">
      <c r="G605" s="58"/>
      <c r="H605" s="58"/>
    </row>
    <row r="606">
      <c r="G606" s="58"/>
      <c r="H606" s="58"/>
    </row>
    <row r="607">
      <c r="G607" s="58"/>
      <c r="H607" s="58"/>
    </row>
    <row r="608">
      <c r="G608" s="58"/>
      <c r="H608" s="58"/>
    </row>
    <row r="609">
      <c r="G609" s="58"/>
      <c r="H609" s="58"/>
    </row>
    <row r="610">
      <c r="G610" s="58"/>
      <c r="H610" s="58"/>
    </row>
    <row r="611">
      <c r="G611" s="58"/>
      <c r="H611" s="58"/>
    </row>
    <row r="612">
      <c r="G612" s="58"/>
      <c r="H612" s="58"/>
    </row>
    <row r="613">
      <c r="G613" s="58"/>
      <c r="H613" s="58"/>
    </row>
    <row r="614">
      <c r="G614" s="58"/>
      <c r="H614" s="58"/>
    </row>
    <row r="615">
      <c r="G615" s="58"/>
      <c r="H615" s="58"/>
    </row>
    <row r="616">
      <c r="G616" s="58"/>
      <c r="H616" s="58"/>
    </row>
    <row r="617">
      <c r="G617" s="58"/>
      <c r="H617" s="58"/>
    </row>
    <row r="618">
      <c r="G618" s="58"/>
      <c r="H618" s="58"/>
    </row>
    <row r="619">
      <c r="G619" s="58"/>
      <c r="H619" s="58"/>
    </row>
    <row r="620">
      <c r="G620" s="58"/>
      <c r="H620" s="58"/>
    </row>
    <row r="621">
      <c r="G621" s="58"/>
      <c r="H621" s="58"/>
    </row>
    <row r="622">
      <c r="G622" s="58"/>
      <c r="H622" s="58"/>
    </row>
    <row r="623">
      <c r="G623" s="58"/>
      <c r="H623" s="58"/>
    </row>
    <row r="624">
      <c r="G624" s="58"/>
      <c r="H624" s="58"/>
    </row>
    <row r="625">
      <c r="G625" s="58"/>
      <c r="H625" s="58"/>
    </row>
    <row r="626">
      <c r="G626" s="58"/>
      <c r="H626" s="58"/>
    </row>
    <row r="627">
      <c r="G627" s="58"/>
      <c r="H627" s="58"/>
    </row>
    <row r="628">
      <c r="G628" s="58"/>
      <c r="H628" s="58"/>
    </row>
    <row r="629">
      <c r="G629" s="58"/>
      <c r="H629" s="58"/>
    </row>
    <row r="630">
      <c r="G630" s="58"/>
      <c r="H630" s="58"/>
    </row>
    <row r="631">
      <c r="G631" s="58"/>
      <c r="H631" s="58"/>
    </row>
    <row r="632">
      <c r="G632" s="58"/>
      <c r="H632" s="58"/>
    </row>
    <row r="633">
      <c r="G633" s="58"/>
      <c r="H633" s="58"/>
    </row>
    <row r="634">
      <c r="G634" s="58"/>
      <c r="H634" s="58"/>
    </row>
    <row r="635">
      <c r="G635" s="58"/>
      <c r="H635" s="58"/>
    </row>
    <row r="636">
      <c r="G636" s="58"/>
      <c r="H636" s="58"/>
    </row>
    <row r="637">
      <c r="G637" s="58"/>
      <c r="H637" s="58"/>
    </row>
    <row r="638">
      <c r="G638" s="58"/>
      <c r="H638" s="58"/>
    </row>
    <row r="639">
      <c r="G639" s="58"/>
      <c r="H639" s="58"/>
    </row>
    <row r="640">
      <c r="G640" s="58"/>
      <c r="H640" s="58"/>
    </row>
    <row r="641">
      <c r="G641" s="58"/>
      <c r="H641" s="58"/>
    </row>
    <row r="642">
      <c r="G642" s="58"/>
      <c r="H642" s="58"/>
    </row>
    <row r="643">
      <c r="G643" s="58"/>
      <c r="H643" s="58"/>
    </row>
    <row r="644">
      <c r="G644" s="58"/>
      <c r="H644" s="58"/>
    </row>
    <row r="645">
      <c r="G645" s="58"/>
      <c r="H645" s="58"/>
    </row>
    <row r="646">
      <c r="G646" s="58"/>
      <c r="H646" s="58"/>
    </row>
    <row r="647">
      <c r="G647" s="58"/>
      <c r="H647" s="58"/>
    </row>
    <row r="648">
      <c r="G648" s="58"/>
      <c r="H648" s="58"/>
    </row>
    <row r="649">
      <c r="G649" s="58"/>
      <c r="H649" s="58"/>
    </row>
    <row r="650">
      <c r="G650" s="58"/>
      <c r="H650" s="58"/>
    </row>
    <row r="651">
      <c r="G651" s="58"/>
      <c r="H651" s="58"/>
    </row>
    <row r="652">
      <c r="G652" s="58"/>
      <c r="H652" s="58"/>
    </row>
    <row r="653">
      <c r="G653" s="58"/>
      <c r="H653" s="58"/>
    </row>
    <row r="654">
      <c r="G654" s="58"/>
      <c r="H654" s="58"/>
    </row>
    <row r="655">
      <c r="G655" s="58"/>
      <c r="H655" s="58"/>
    </row>
    <row r="656">
      <c r="G656" s="58"/>
      <c r="H656" s="58"/>
    </row>
    <row r="657">
      <c r="G657" s="58"/>
      <c r="H657" s="58"/>
    </row>
    <row r="658">
      <c r="G658" s="58"/>
      <c r="H658" s="58"/>
    </row>
    <row r="659">
      <c r="G659" s="58"/>
      <c r="H659" s="58"/>
    </row>
    <row r="660">
      <c r="G660" s="58"/>
      <c r="H660" s="58"/>
    </row>
    <row r="661">
      <c r="G661" s="58"/>
      <c r="H661" s="58"/>
    </row>
    <row r="662">
      <c r="G662" s="58"/>
      <c r="H662" s="58"/>
    </row>
    <row r="663">
      <c r="G663" s="58"/>
      <c r="H663" s="58"/>
    </row>
    <row r="664">
      <c r="G664" s="58"/>
      <c r="H664" s="58"/>
    </row>
    <row r="665">
      <c r="G665" s="58"/>
      <c r="H665" s="58"/>
    </row>
    <row r="666">
      <c r="G666" s="58"/>
      <c r="H666" s="58"/>
    </row>
    <row r="667">
      <c r="G667" s="58"/>
      <c r="H667" s="58"/>
    </row>
    <row r="668">
      <c r="G668" s="58"/>
      <c r="H668" s="58"/>
    </row>
    <row r="669">
      <c r="G669" s="58"/>
      <c r="H669" s="58"/>
    </row>
    <row r="670">
      <c r="G670" s="58"/>
      <c r="H670" s="58"/>
    </row>
    <row r="671">
      <c r="G671" s="58"/>
      <c r="H671" s="58"/>
    </row>
    <row r="672">
      <c r="G672" s="58"/>
      <c r="H672" s="58"/>
    </row>
    <row r="673">
      <c r="G673" s="58"/>
      <c r="H673" s="58"/>
    </row>
    <row r="674">
      <c r="G674" s="58"/>
      <c r="H674" s="58"/>
    </row>
    <row r="675">
      <c r="G675" s="58"/>
      <c r="H675" s="58"/>
    </row>
    <row r="676">
      <c r="G676" s="58"/>
      <c r="H676" s="58"/>
    </row>
    <row r="677">
      <c r="G677" s="58"/>
      <c r="H677" s="58"/>
    </row>
    <row r="678">
      <c r="G678" s="58"/>
      <c r="H678" s="58"/>
    </row>
    <row r="679">
      <c r="G679" s="58"/>
      <c r="H679" s="58"/>
    </row>
    <row r="680">
      <c r="G680" s="58"/>
      <c r="H680" s="58"/>
    </row>
    <row r="681">
      <c r="G681" s="58"/>
      <c r="H681" s="58"/>
    </row>
    <row r="682">
      <c r="G682" s="58"/>
      <c r="H682" s="58"/>
    </row>
    <row r="683">
      <c r="G683" s="58"/>
      <c r="H683" s="58"/>
    </row>
    <row r="684">
      <c r="G684" s="58"/>
      <c r="H684" s="58"/>
    </row>
    <row r="685">
      <c r="G685" s="58"/>
      <c r="H685" s="58"/>
    </row>
    <row r="686">
      <c r="G686" s="58"/>
      <c r="H686" s="58"/>
    </row>
    <row r="687">
      <c r="G687" s="58"/>
      <c r="H687" s="58"/>
    </row>
    <row r="688">
      <c r="G688" s="58"/>
      <c r="H688" s="58"/>
    </row>
    <row r="689">
      <c r="G689" s="58"/>
      <c r="H689" s="58"/>
    </row>
    <row r="690">
      <c r="G690" s="58"/>
      <c r="H690" s="58"/>
    </row>
    <row r="691">
      <c r="G691" s="58"/>
      <c r="H691" s="58"/>
    </row>
    <row r="692">
      <c r="G692" s="58"/>
      <c r="H692" s="58"/>
    </row>
    <row r="693">
      <c r="G693" s="58"/>
      <c r="H693" s="58"/>
    </row>
    <row r="694">
      <c r="G694" s="58"/>
      <c r="H694" s="58"/>
    </row>
    <row r="695">
      <c r="G695" s="58"/>
      <c r="H695" s="58"/>
    </row>
    <row r="696">
      <c r="G696" s="58"/>
      <c r="H696" s="58"/>
    </row>
    <row r="697">
      <c r="G697" s="58"/>
      <c r="H697" s="58"/>
    </row>
    <row r="698">
      <c r="G698" s="58"/>
      <c r="H698" s="58"/>
    </row>
    <row r="699">
      <c r="G699" s="58"/>
      <c r="H699" s="58"/>
    </row>
    <row r="700">
      <c r="G700" s="58"/>
      <c r="H700" s="58"/>
    </row>
    <row r="701">
      <c r="G701" s="58"/>
      <c r="H701" s="58"/>
    </row>
    <row r="702">
      <c r="G702" s="58"/>
      <c r="H702" s="58"/>
    </row>
    <row r="703">
      <c r="G703" s="58"/>
      <c r="H703" s="58"/>
    </row>
    <row r="704">
      <c r="G704" s="58"/>
      <c r="H704" s="58"/>
    </row>
    <row r="705">
      <c r="G705" s="58"/>
      <c r="H705" s="58"/>
    </row>
    <row r="706">
      <c r="G706" s="58"/>
      <c r="H706" s="58"/>
    </row>
    <row r="707">
      <c r="G707" s="58"/>
      <c r="H707" s="58"/>
    </row>
    <row r="708">
      <c r="G708" s="58"/>
      <c r="H708" s="58"/>
    </row>
    <row r="709">
      <c r="G709" s="58"/>
      <c r="H709" s="58"/>
    </row>
    <row r="710">
      <c r="G710" s="58"/>
      <c r="H710" s="58"/>
    </row>
    <row r="711">
      <c r="G711" s="58"/>
      <c r="H711" s="58"/>
    </row>
    <row r="712">
      <c r="G712" s="58"/>
      <c r="H712" s="58"/>
    </row>
    <row r="713">
      <c r="G713" s="58"/>
      <c r="H713" s="58"/>
    </row>
    <row r="714">
      <c r="G714" s="58"/>
      <c r="H714" s="58"/>
    </row>
    <row r="715">
      <c r="G715" s="58"/>
      <c r="H715" s="58"/>
    </row>
    <row r="716">
      <c r="G716" s="58"/>
      <c r="H716" s="58"/>
    </row>
    <row r="717">
      <c r="G717" s="58"/>
      <c r="H717" s="58"/>
    </row>
    <row r="718">
      <c r="G718" s="58"/>
      <c r="H718" s="58"/>
    </row>
    <row r="719">
      <c r="G719" s="58"/>
      <c r="H719" s="58"/>
    </row>
    <row r="720">
      <c r="G720" s="58"/>
      <c r="H720" s="58"/>
    </row>
    <row r="721">
      <c r="G721" s="58"/>
      <c r="H721" s="58"/>
    </row>
    <row r="722">
      <c r="G722" s="58"/>
      <c r="H722" s="58"/>
    </row>
    <row r="723">
      <c r="G723" s="58"/>
      <c r="H723" s="58"/>
    </row>
    <row r="724">
      <c r="G724" s="58"/>
      <c r="H724" s="58"/>
    </row>
    <row r="725">
      <c r="G725" s="58"/>
      <c r="H725" s="58"/>
    </row>
    <row r="726">
      <c r="G726" s="58"/>
      <c r="H726" s="58"/>
    </row>
    <row r="727">
      <c r="G727" s="58"/>
      <c r="H727" s="58"/>
    </row>
    <row r="728">
      <c r="G728" s="58"/>
      <c r="H728" s="58"/>
    </row>
    <row r="729">
      <c r="G729" s="58"/>
      <c r="H729" s="58"/>
    </row>
    <row r="730">
      <c r="G730" s="58"/>
      <c r="H730" s="58"/>
    </row>
    <row r="731">
      <c r="G731" s="58"/>
      <c r="H731" s="58"/>
    </row>
    <row r="732">
      <c r="G732" s="58"/>
      <c r="H732" s="58"/>
    </row>
    <row r="733">
      <c r="G733" s="58"/>
      <c r="H733" s="58"/>
    </row>
    <row r="734">
      <c r="G734" s="58"/>
      <c r="H734" s="58"/>
    </row>
    <row r="735">
      <c r="G735" s="58"/>
      <c r="H735" s="58"/>
    </row>
    <row r="736">
      <c r="G736" s="58"/>
      <c r="H736" s="58"/>
    </row>
    <row r="737">
      <c r="G737" s="58"/>
      <c r="H737" s="58"/>
    </row>
    <row r="738">
      <c r="G738" s="58"/>
      <c r="H738" s="58"/>
    </row>
    <row r="739">
      <c r="G739" s="58"/>
      <c r="H739" s="58"/>
    </row>
    <row r="740">
      <c r="G740" s="58"/>
      <c r="H740" s="58"/>
    </row>
    <row r="741">
      <c r="G741" s="58"/>
      <c r="H741" s="58"/>
    </row>
    <row r="742">
      <c r="G742" s="58"/>
      <c r="H742" s="58"/>
    </row>
    <row r="743">
      <c r="G743" s="58"/>
      <c r="H743" s="58"/>
    </row>
    <row r="744">
      <c r="G744" s="58"/>
      <c r="H744" s="58"/>
    </row>
    <row r="745">
      <c r="G745" s="58"/>
      <c r="H745" s="58"/>
    </row>
    <row r="746">
      <c r="G746" s="58"/>
      <c r="H746" s="58"/>
    </row>
    <row r="747">
      <c r="G747" s="58"/>
      <c r="H747" s="58"/>
    </row>
    <row r="748">
      <c r="G748" s="58"/>
      <c r="H748" s="58"/>
    </row>
    <row r="749">
      <c r="G749" s="58"/>
      <c r="H749" s="58"/>
    </row>
    <row r="750">
      <c r="G750" s="58"/>
      <c r="H750" s="58"/>
    </row>
    <row r="751">
      <c r="G751" s="58"/>
      <c r="H751" s="58"/>
    </row>
    <row r="752">
      <c r="G752" s="58"/>
      <c r="H752" s="58"/>
    </row>
    <row r="753">
      <c r="G753" s="58"/>
      <c r="H753" s="58"/>
    </row>
    <row r="754">
      <c r="G754" s="58"/>
      <c r="H754" s="58"/>
    </row>
    <row r="755">
      <c r="G755" s="58"/>
      <c r="H755" s="58"/>
    </row>
    <row r="756">
      <c r="G756" s="58"/>
      <c r="H756" s="58"/>
    </row>
    <row r="757">
      <c r="G757" s="58"/>
      <c r="H757" s="58"/>
    </row>
    <row r="758">
      <c r="G758" s="58"/>
      <c r="H758" s="58"/>
    </row>
    <row r="759">
      <c r="G759" s="58"/>
      <c r="H759" s="58"/>
    </row>
    <row r="760">
      <c r="G760" s="58"/>
      <c r="H760" s="58"/>
    </row>
    <row r="761">
      <c r="G761" s="58"/>
      <c r="H761" s="58"/>
    </row>
    <row r="762">
      <c r="G762" s="58"/>
      <c r="H762" s="58"/>
    </row>
    <row r="763">
      <c r="G763" s="58"/>
      <c r="H763" s="58"/>
    </row>
    <row r="764">
      <c r="G764" s="58"/>
      <c r="H764" s="58"/>
    </row>
    <row r="765">
      <c r="G765" s="58"/>
      <c r="H765" s="58"/>
    </row>
    <row r="766">
      <c r="G766" s="58"/>
      <c r="H766" s="58"/>
    </row>
    <row r="767">
      <c r="G767" s="58"/>
      <c r="H767" s="58"/>
    </row>
    <row r="768">
      <c r="G768" s="58"/>
      <c r="H768" s="58"/>
    </row>
    <row r="769">
      <c r="G769" s="58"/>
      <c r="H769" s="58"/>
    </row>
    <row r="770">
      <c r="G770" s="58"/>
      <c r="H770" s="58"/>
    </row>
    <row r="771">
      <c r="G771" s="58"/>
      <c r="H771" s="58"/>
    </row>
    <row r="772">
      <c r="G772" s="58"/>
      <c r="H772" s="58"/>
    </row>
    <row r="773">
      <c r="G773" s="58"/>
      <c r="H773" s="58"/>
    </row>
    <row r="774">
      <c r="G774" s="58"/>
      <c r="H774" s="58"/>
    </row>
    <row r="775">
      <c r="G775" s="58"/>
      <c r="H775" s="58"/>
    </row>
    <row r="776">
      <c r="G776" s="58"/>
      <c r="H776" s="58"/>
    </row>
    <row r="777">
      <c r="G777" s="58"/>
      <c r="H777" s="58"/>
    </row>
    <row r="778">
      <c r="G778" s="58"/>
      <c r="H778" s="58"/>
    </row>
    <row r="779">
      <c r="G779" s="58"/>
      <c r="H779" s="58"/>
    </row>
    <row r="780">
      <c r="G780" s="58"/>
      <c r="H780" s="58"/>
    </row>
    <row r="781">
      <c r="G781" s="58"/>
      <c r="H781" s="58"/>
    </row>
    <row r="782">
      <c r="G782" s="58"/>
      <c r="H782" s="58"/>
    </row>
    <row r="783">
      <c r="G783" s="58"/>
      <c r="H783" s="58"/>
    </row>
    <row r="784">
      <c r="G784" s="58"/>
      <c r="H784" s="58"/>
    </row>
    <row r="785">
      <c r="G785" s="58"/>
      <c r="H785" s="58"/>
    </row>
    <row r="786">
      <c r="G786" s="58"/>
      <c r="H786" s="58"/>
    </row>
    <row r="787">
      <c r="G787" s="58"/>
      <c r="H787" s="58"/>
    </row>
    <row r="788">
      <c r="G788" s="58"/>
      <c r="H788" s="58"/>
    </row>
    <row r="789">
      <c r="G789" s="58"/>
      <c r="H789" s="58"/>
    </row>
    <row r="790">
      <c r="G790" s="58"/>
      <c r="H790" s="58"/>
    </row>
    <row r="791">
      <c r="G791" s="58"/>
      <c r="H791" s="58"/>
    </row>
    <row r="792">
      <c r="G792" s="58"/>
      <c r="H792" s="58"/>
    </row>
    <row r="793">
      <c r="G793" s="58"/>
      <c r="H793" s="58"/>
    </row>
    <row r="794">
      <c r="G794" s="58"/>
      <c r="H794" s="58"/>
    </row>
    <row r="795">
      <c r="G795" s="58"/>
      <c r="H795" s="58"/>
    </row>
    <row r="796">
      <c r="G796" s="58"/>
      <c r="H796" s="58"/>
    </row>
    <row r="797">
      <c r="G797" s="58"/>
      <c r="H797" s="58"/>
    </row>
    <row r="798">
      <c r="G798" s="58"/>
      <c r="H798" s="58"/>
    </row>
    <row r="799">
      <c r="G799" s="58"/>
      <c r="H799" s="58"/>
    </row>
    <row r="800">
      <c r="G800" s="58"/>
      <c r="H800" s="58"/>
    </row>
    <row r="801">
      <c r="G801" s="58"/>
      <c r="H801" s="58"/>
    </row>
    <row r="802">
      <c r="G802" s="58"/>
      <c r="H802" s="58"/>
    </row>
    <row r="803">
      <c r="G803" s="58"/>
      <c r="H803" s="58"/>
    </row>
    <row r="804">
      <c r="G804" s="58"/>
      <c r="H804" s="58"/>
    </row>
    <row r="805">
      <c r="G805" s="58"/>
      <c r="H805" s="58"/>
    </row>
    <row r="806">
      <c r="G806" s="58"/>
      <c r="H806" s="58"/>
    </row>
    <row r="807">
      <c r="G807" s="58"/>
      <c r="H807" s="58"/>
    </row>
    <row r="808">
      <c r="G808" s="58"/>
      <c r="H808" s="58"/>
    </row>
    <row r="809">
      <c r="G809" s="58"/>
      <c r="H809" s="58"/>
    </row>
    <row r="810">
      <c r="G810" s="58"/>
      <c r="H810" s="58"/>
    </row>
    <row r="811">
      <c r="G811" s="58"/>
      <c r="H811" s="58"/>
    </row>
    <row r="812">
      <c r="G812" s="58"/>
      <c r="H812" s="58"/>
    </row>
    <row r="813">
      <c r="G813" s="58"/>
      <c r="H813" s="58"/>
    </row>
    <row r="814">
      <c r="G814" s="58"/>
      <c r="H814" s="58"/>
    </row>
    <row r="815">
      <c r="G815" s="58"/>
      <c r="H815" s="58"/>
    </row>
    <row r="816">
      <c r="G816" s="58"/>
      <c r="H816" s="58"/>
    </row>
    <row r="817">
      <c r="G817" s="58"/>
      <c r="H817" s="58"/>
    </row>
    <row r="818">
      <c r="G818" s="58"/>
      <c r="H818" s="58"/>
    </row>
    <row r="819">
      <c r="G819" s="58"/>
      <c r="H819" s="58"/>
    </row>
    <row r="820">
      <c r="G820" s="58"/>
      <c r="H820" s="58"/>
    </row>
    <row r="821">
      <c r="G821" s="58"/>
      <c r="H821" s="58"/>
    </row>
    <row r="822">
      <c r="G822" s="58"/>
      <c r="H822" s="58"/>
    </row>
    <row r="823">
      <c r="G823" s="58"/>
      <c r="H823" s="58"/>
    </row>
    <row r="824">
      <c r="G824" s="58"/>
      <c r="H824" s="58"/>
    </row>
    <row r="825">
      <c r="G825" s="58"/>
      <c r="H825" s="58"/>
    </row>
    <row r="826">
      <c r="G826" s="58"/>
      <c r="H826" s="58"/>
    </row>
    <row r="827">
      <c r="G827" s="58"/>
      <c r="H827" s="58"/>
    </row>
    <row r="828">
      <c r="G828" s="58"/>
      <c r="H828" s="58"/>
    </row>
    <row r="829">
      <c r="G829" s="58"/>
      <c r="H829" s="58"/>
    </row>
    <row r="830">
      <c r="G830" s="58"/>
      <c r="H830" s="58"/>
    </row>
    <row r="831">
      <c r="G831" s="58"/>
      <c r="H831" s="58"/>
    </row>
    <row r="832">
      <c r="G832" s="58"/>
      <c r="H832" s="58"/>
    </row>
    <row r="833">
      <c r="G833" s="58"/>
      <c r="H833" s="58"/>
    </row>
    <row r="834">
      <c r="G834" s="58"/>
      <c r="H834" s="58"/>
    </row>
    <row r="835">
      <c r="G835" s="58"/>
      <c r="H835" s="58"/>
    </row>
    <row r="836">
      <c r="G836" s="58"/>
      <c r="H836" s="58"/>
    </row>
    <row r="837">
      <c r="G837" s="58"/>
      <c r="H837" s="58"/>
    </row>
    <row r="838">
      <c r="G838" s="58"/>
      <c r="H838" s="58"/>
    </row>
    <row r="839">
      <c r="G839" s="58"/>
      <c r="H839" s="58"/>
    </row>
    <row r="840">
      <c r="G840" s="58"/>
      <c r="H840" s="58"/>
    </row>
    <row r="841">
      <c r="G841" s="58"/>
      <c r="H841" s="58"/>
    </row>
    <row r="842">
      <c r="G842" s="58"/>
      <c r="H842" s="58"/>
    </row>
    <row r="843">
      <c r="G843" s="58"/>
      <c r="H843" s="58"/>
    </row>
    <row r="844">
      <c r="G844" s="58"/>
      <c r="H844" s="58"/>
    </row>
    <row r="845">
      <c r="G845" s="58"/>
      <c r="H845" s="58"/>
    </row>
    <row r="846">
      <c r="G846" s="58"/>
      <c r="H846" s="58"/>
    </row>
    <row r="847">
      <c r="G847" s="58"/>
      <c r="H847" s="58"/>
    </row>
    <row r="848">
      <c r="G848" s="58"/>
      <c r="H848" s="58"/>
    </row>
    <row r="849">
      <c r="G849" s="58"/>
      <c r="H849" s="58"/>
    </row>
    <row r="850">
      <c r="G850" s="58"/>
      <c r="H850" s="58"/>
    </row>
    <row r="851">
      <c r="G851" s="58"/>
      <c r="H851" s="58"/>
    </row>
    <row r="852">
      <c r="G852" s="58"/>
      <c r="H852" s="58"/>
    </row>
    <row r="853">
      <c r="G853" s="58"/>
      <c r="H853" s="58"/>
    </row>
    <row r="854">
      <c r="G854" s="58"/>
      <c r="H854" s="58"/>
    </row>
    <row r="855">
      <c r="G855" s="58"/>
      <c r="H855" s="58"/>
    </row>
    <row r="856">
      <c r="G856" s="58"/>
      <c r="H856" s="58"/>
    </row>
    <row r="857">
      <c r="G857" s="58"/>
      <c r="H857" s="58"/>
    </row>
    <row r="858">
      <c r="G858" s="58"/>
      <c r="H858" s="58"/>
    </row>
    <row r="859">
      <c r="G859" s="58"/>
      <c r="H859" s="58"/>
    </row>
    <row r="860">
      <c r="G860" s="58"/>
      <c r="H860" s="58"/>
    </row>
    <row r="861">
      <c r="G861" s="58"/>
      <c r="H861" s="58"/>
    </row>
    <row r="862">
      <c r="G862" s="58"/>
      <c r="H862" s="58"/>
    </row>
    <row r="863">
      <c r="G863" s="58"/>
      <c r="H863" s="58"/>
    </row>
    <row r="864">
      <c r="G864" s="58"/>
      <c r="H864" s="58"/>
    </row>
    <row r="865">
      <c r="G865" s="58"/>
      <c r="H865" s="58"/>
    </row>
    <row r="866">
      <c r="G866" s="58"/>
      <c r="H866" s="58"/>
    </row>
    <row r="867">
      <c r="G867" s="58"/>
      <c r="H867" s="58"/>
    </row>
    <row r="868">
      <c r="G868" s="58"/>
      <c r="H868" s="58"/>
    </row>
    <row r="869">
      <c r="G869" s="58"/>
      <c r="H869" s="58"/>
    </row>
    <row r="870">
      <c r="G870" s="58"/>
      <c r="H870" s="58"/>
    </row>
    <row r="871">
      <c r="G871" s="58"/>
      <c r="H871" s="58"/>
    </row>
    <row r="872">
      <c r="G872" s="58"/>
      <c r="H872" s="58"/>
    </row>
    <row r="873">
      <c r="G873" s="58"/>
      <c r="H873" s="58"/>
    </row>
    <row r="874">
      <c r="G874" s="58"/>
      <c r="H874" s="58"/>
    </row>
    <row r="875">
      <c r="G875" s="58"/>
      <c r="H875" s="58"/>
    </row>
    <row r="876">
      <c r="G876" s="58"/>
      <c r="H876" s="58"/>
    </row>
    <row r="877">
      <c r="G877" s="58"/>
      <c r="H877" s="58"/>
    </row>
    <row r="878">
      <c r="G878" s="58"/>
      <c r="H878" s="58"/>
    </row>
    <row r="879">
      <c r="G879" s="58"/>
      <c r="H879" s="58"/>
    </row>
    <row r="880">
      <c r="G880" s="58"/>
      <c r="H880" s="58"/>
    </row>
    <row r="881">
      <c r="G881" s="58"/>
      <c r="H881" s="58"/>
    </row>
    <row r="882">
      <c r="G882" s="58"/>
      <c r="H882" s="58"/>
    </row>
    <row r="883">
      <c r="G883" s="58"/>
      <c r="H883" s="58"/>
    </row>
    <row r="884">
      <c r="G884" s="58"/>
      <c r="H884" s="58"/>
    </row>
    <row r="885">
      <c r="G885" s="58"/>
      <c r="H885" s="58"/>
    </row>
    <row r="886">
      <c r="G886" s="58"/>
      <c r="H886" s="58"/>
    </row>
    <row r="887">
      <c r="G887" s="58"/>
      <c r="H887" s="58"/>
    </row>
    <row r="888">
      <c r="G888" s="58"/>
      <c r="H888" s="58"/>
    </row>
    <row r="889">
      <c r="G889" s="58"/>
      <c r="H889" s="58"/>
    </row>
    <row r="890">
      <c r="G890" s="58"/>
      <c r="H890" s="58"/>
    </row>
    <row r="891">
      <c r="G891" s="58"/>
      <c r="H891" s="58"/>
    </row>
    <row r="892">
      <c r="G892" s="58"/>
      <c r="H892" s="58"/>
    </row>
    <row r="893">
      <c r="G893" s="58"/>
      <c r="H893" s="58"/>
    </row>
    <row r="894">
      <c r="G894" s="58"/>
      <c r="H894" s="58"/>
    </row>
    <row r="895">
      <c r="G895" s="58"/>
      <c r="H895" s="58"/>
    </row>
    <row r="896">
      <c r="G896" s="58"/>
      <c r="H896" s="58"/>
    </row>
    <row r="897">
      <c r="G897" s="58"/>
      <c r="H897" s="58"/>
    </row>
    <row r="898">
      <c r="G898" s="58"/>
      <c r="H898" s="58"/>
    </row>
    <row r="899">
      <c r="G899" s="58"/>
      <c r="H899" s="58"/>
    </row>
    <row r="900">
      <c r="G900" s="58"/>
      <c r="H900" s="58"/>
    </row>
    <row r="901">
      <c r="G901" s="58"/>
      <c r="H901" s="58"/>
    </row>
    <row r="902">
      <c r="G902" s="58"/>
      <c r="H902" s="58"/>
    </row>
    <row r="903">
      <c r="G903" s="58"/>
      <c r="H903" s="58"/>
    </row>
    <row r="904">
      <c r="G904" s="58"/>
      <c r="H904" s="58"/>
    </row>
    <row r="905">
      <c r="G905" s="58"/>
      <c r="H905" s="58"/>
    </row>
    <row r="906">
      <c r="G906" s="58"/>
      <c r="H906" s="58"/>
    </row>
    <row r="907">
      <c r="G907" s="58"/>
      <c r="H907" s="58"/>
    </row>
    <row r="908">
      <c r="G908" s="58"/>
      <c r="H908" s="58"/>
    </row>
    <row r="909">
      <c r="G909" s="58"/>
      <c r="H909" s="58"/>
    </row>
    <row r="910">
      <c r="G910" s="58"/>
      <c r="H910" s="58"/>
    </row>
    <row r="911">
      <c r="G911" s="58"/>
      <c r="H911" s="58"/>
    </row>
    <row r="912">
      <c r="G912" s="58"/>
      <c r="H912" s="58"/>
    </row>
    <row r="913">
      <c r="G913" s="58"/>
      <c r="H913" s="58"/>
    </row>
    <row r="914">
      <c r="G914" s="58"/>
      <c r="H914" s="58"/>
    </row>
    <row r="915">
      <c r="G915" s="58"/>
      <c r="H915" s="58"/>
    </row>
    <row r="916">
      <c r="G916" s="58"/>
      <c r="H916" s="58"/>
    </row>
    <row r="917">
      <c r="G917" s="58"/>
      <c r="H917" s="58"/>
    </row>
    <row r="918">
      <c r="G918" s="58"/>
      <c r="H918" s="58"/>
    </row>
    <row r="919">
      <c r="G919" s="58"/>
      <c r="H919" s="58"/>
    </row>
    <row r="920">
      <c r="G920" s="58"/>
      <c r="H920" s="58"/>
    </row>
    <row r="921">
      <c r="G921" s="58"/>
      <c r="H921" s="58"/>
    </row>
    <row r="922">
      <c r="G922" s="58"/>
      <c r="H922" s="58"/>
    </row>
    <row r="923">
      <c r="G923" s="58"/>
      <c r="H923" s="58"/>
    </row>
    <row r="924">
      <c r="G924" s="58"/>
      <c r="H924" s="58"/>
    </row>
    <row r="925">
      <c r="G925" s="58"/>
      <c r="H925" s="58"/>
    </row>
    <row r="926">
      <c r="G926" s="58"/>
      <c r="H926" s="58"/>
    </row>
    <row r="927">
      <c r="G927" s="58"/>
      <c r="H927" s="58"/>
    </row>
    <row r="928">
      <c r="G928" s="58"/>
      <c r="H928" s="58"/>
    </row>
    <row r="929">
      <c r="G929" s="58"/>
      <c r="H929" s="58"/>
    </row>
    <row r="930">
      <c r="G930" s="58"/>
      <c r="H930" s="58"/>
    </row>
    <row r="931">
      <c r="G931" s="58"/>
      <c r="H931" s="58"/>
    </row>
    <row r="932">
      <c r="G932" s="58"/>
      <c r="H932" s="58"/>
    </row>
    <row r="933">
      <c r="G933" s="58"/>
      <c r="H933" s="58"/>
    </row>
    <row r="934">
      <c r="G934" s="58"/>
      <c r="H934" s="58"/>
    </row>
    <row r="935">
      <c r="G935" s="58"/>
      <c r="H935" s="58"/>
    </row>
    <row r="936">
      <c r="G936" s="58"/>
      <c r="H936" s="58"/>
    </row>
    <row r="937">
      <c r="G937" s="58"/>
      <c r="H937" s="58"/>
    </row>
    <row r="938">
      <c r="G938" s="58"/>
      <c r="H938" s="58"/>
    </row>
    <row r="939">
      <c r="G939" s="58"/>
      <c r="H939" s="58"/>
    </row>
    <row r="940">
      <c r="G940" s="58"/>
      <c r="H940" s="58"/>
    </row>
    <row r="941">
      <c r="G941" s="58"/>
      <c r="H941" s="58"/>
    </row>
    <row r="942">
      <c r="G942" s="58"/>
      <c r="H942" s="58"/>
    </row>
    <row r="943">
      <c r="G943" s="58"/>
      <c r="H943" s="58"/>
    </row>
    <row r="944">
      <c r="G944" s="58"/>
      <c r="H944" s="58"/>
    </row>
    <row r="945">
      <c r="G945" s="58"/>
      <c r="H945" s="58"/>
    </row>
    <row r="946">
      <c r="G946" s="58"/>
      <c r="H946" s="58"/>
    </row>
    <row r="947">
      <c r="G947" s="58"/>
      <c r="H947" s="58"/>
    </row>
    <row r="948">
      <c r="G948" s="58"/>
      <c r="H948" s="58"/>
    </row>
    <row r="949">
      <c r="G949" s="58"/>
      <c r="H949" s="58"/>
    </row>
    <row r="950">
      <c r="G950" s="58"/>
      <c r="H950" s="58"/>
    </row>
    <row r="951">
      <c r="G951" s="58"/>
      <c r="H951" s="58"/>
    </row>
    <row r="952">
      <c r="G952" s="58"/>
      <c r="H952" s="58"/>
    </row>
    <row r="953">
      <c r="G953" s="58"/>
      <c r="H953" s="58"/>
    </row>
    <row r="954">
      <c r="G954" s="58"/>
      <c r="H954" s="58"/>
    </row>
    <row r="955">
      <c r="G955" s="58"/>
      <c r="H955" s="58"/>
    </row>
    <row r="956">
      <c r="G956" s="58"/>
      <c r="H956" s="58"/>
    </row>
    <row r="957">
      <c r="G957" s="58"/>
      <c r="H957" s="58"/>
    </row>
    <row r="958">
      <c r="G958" s="58"/>
      <c r="H958" s="58"/>
    </row>
    <row r="959">
      <c r="G959" s="58"/>
      <c r="H959" s="58"/>
    </row>
    <row r="960">
      <c r="G960" s="58"/>
      <c r="H960" s="58"/>
    </row>
    <row r="961">
      <c r="G961" s="58"/>
      <c r="H961" s="58"/>
    </row>
    <row r="962">
      <c r="G962" s="58"/>
      <c r="H962" s="58"/>
    </row>
    <row r="963">
      <c r="G963" s="58"/>
      <c r="H963" s="58"/>
    </row>
    <row r="964">
      <c r="G964" s="58"/>
      <c r="H964" s="58"/>
    </row>
    <row r="965">
      <c r="G965" s="58"/>
      <c r="H965" s="58"/>
    </row>
    <row r="966">
      <c r="G966" s="58"/>
      <c r="H966" s="58"/>
    </row>
    <row r="967">
      <c r="G967" s="58"/>
      <c r="H967" s="58"/>
    </row>
    <row r="968">
      <c r="G968" s="58"/>
      <c r="H968" s="58"/>
    </row>
    <row r="969">
      <c r="G969" s="58"/>
      <c r="H969" s="58"/>
    </row>
    <row r="970">
      <c r="G970" s="58"/>
      <c r="H970" s="58"/>
    </row>
    <row r="971">
      <c r="G971" s="58"/>
      <c r="H971" s="58"/>
    </row>
    <row r="972">
      <c r="G972" s="58"/>
      <c r="H972" s="58"/>
    </row>
    <row r="973">
      <c r="G973" s="58"/>
      <c r="H973" s="58"/>
    </row>
    <row r="974">
      <c r="G974" s="58"/>
      <c r="H974" s="58"/>
    </row>
    <row r="975">
      <c r="G975" s="58"/>
      <c r="H975" s="58"/>
    </row>
    <row r="976">
      <c r="G976" s="58"/>
      <c r="H976" s="58"/>
    </row>
    <row r="977">
      <c r="G977" s="58"/>
      <c r="H977" s="58"/>
    </row>
    <row r="978">
      <c r="G978" s="58"/>
      <c r="H978" s="58"/>
    </row>
    <row r="979">
      <c r="G979" s="58"/>
      <c r="H979" s="58"/>
    </row>
    <row r="980">
      <c r="G980" s="58"/>
      <c r="H980" s="58"/>
    </row>
    <row r="981">
      <c r="G981" s="58"/>
      <c r="H981" s="58"/>
    </row>
    <row r="982">
      <c r="G982" s="58"/>
      <c r="H982" s="58"/>
    </row>
    <row r="983">
      <c r="G983" s="58"/>
      <c r="H983" s="58"/>
    </row>
    <row r="984">
      <c r="G984" s="58"/>
      <c r="H984" s="58"/>
    </row>
    <row r="985">
      <c r="G985" s="58"/>
      <c r="H985" s="58"/>
    </row>
    <row r="986">
      <c r="G986" s="58"/>
      <c r="H986" s="58"/>
    </row>
    <row r="987">
      <c r="G987" s="58"/>
      <c r="H987" s="58"/>
    </row>
    <row r="988">
      <c r="G988" s="58"/>
      <c r="H988" s="58"/>
    </row>
    <row r="989">
      <c r="G989" s="58"/>
      <c r="H989" s="58"/>
    </row>
    <row r="990">
      <c r="G990" s="58"/>
      <c r="H990" s="58"/>
    </row>
    <row r="991">
      <c r="G991" s="58"/>
      <c r="H991" s="58"/>
    </row>
    <row r="992">
      <c r="G992" s="58"/>
      <c r="H992" s="58"/>
    </row>
    <row r="993">
      <c r="G993" s="58"/>
      <c r="H993" s="58"/>
    </row>
    <row r="994">
      <c r="G994" s="58"/>
      <c r="H994" s="58"/>
    </row>
    <row r="995">
      <c r="G995" s="58"/>
      <c r="H995" s="58"/>
    </row>
    <row r="996">
      <c r="G996" s="58"/>
      <c r="H996" s="58"/>
    </row>
    <row r="997">
      <c r="G997" s="58"/>
      <c r="H997" s="58"/>
    </row>
    <row r="998">
      <c r="G998" s="58"/>
      <c r="H998" s="58"/>
    </row>
    <row r="999">
      <c r="G999" s="58"/>
      <c r="H999" s="58"/>
    </row>
    <row r="1000">
      <c r="G1000" s="58"/>
      <c r="H1000" s="58"/>
    </row>
    <row r="1001">
      <c r="G1001" s="58"/>
      <c r="H1001" s="58"/>
    </row>
    <row r="1002">
      <c r="G1002" s="58"/>
      <c r="H1002" s="58"/>
    </row>
    <row r="1003">
      <c r="G1003" s="58"/>
      <c r="H1003" s="58"/>
    </row>
    <row r="1004">
      <c r="G1004" s="58"/>
      <c r="H1004" s="58"/>
    </row>
    <row r="1005">
      <c r="G1005" s="58"/>
      <c r="H1005" s="58"/>
    </row>
    <row r="1006">
      <c r="G1006" s="58"/>
      <c r="H1006" s="58"/>
    </row>
    <row r="1007">
      <c r="G1007" s="58"/>
      <c r="H1007" s="58"/>
    </row>
    <row r="1008">
      <c r="G1008" s="58"/>
      <c r="H1008" s="58"/>
    </row>
    <row r="1009">
      <c r="G1009" s="58"/>
      <c r="H1009" s="58"/>
    </row>
    <row r="1010">
      <c r="G1010" s="58"/>
      <c r="H1010" s="58"/>
    </row>
    <row r="1011">
      <c r="G1011" s="58"/>
      <c r="H1011" s="58"/>
    </row>
    <row r="1012">
      <c r="G1012" s="58"/>
      <c r="H1012" s="58"/>
    </row>
    <row r="1013">
      <c r="G1013" s="58"/>
      <c r="H1013" s="58"/>
    </row>
    <row r="1014">
      <c r="G1014" s="58"/>
      <c r="H1014" s="58"/>
    </row>
    <row r="1015">
      <c r="G1015" s="58"/>
      <c r="H1015" s="58"/>
    </row>
    <row r="1016">
      <c r="G1016" s="58"/>
      <c r="H1016" s="58"/>
    </row>
    <row r="1017">
      <c r="G1017" s="58"/>
      <c r="H1017" s="58"/>
    </row>
    <row r="1018">
      <c r="G1018" s="58"/>
      <c r="H1018" s="58"/>
    </row>
    <row r="1019">
      <c r="G1019" s="58"/>
      <c r="H1019" s="58"/>
    </row>
  </sheetData>
  <mergeCells count="20">
    <mergeCell ref="B1:F1"/>
    <mergeCell ref="B20:F20"/>
    <mergeCell ref="B39:F39"/>
    <mergeCell ref="B58:F58"/>
    <mergeCell ref="B77:F77"/>
    <mergeCell ref="B96:F96"/>
    <mergeCell ref="B115:F115"/>
    <mergeCell ref="B267:F267"/>
    <mergeCell ref="B286:F286"/>
    <mergeCell ref="B305:F305"/>
    <mergeCell ref="B324:F324"/>
    <mergeCell ref="B343:F343"/>
    <mergeCell ref="B362:F362"/>
    <mergeCell ref="B134:F134"/>
    <mergeCell ref="B153:F153"/>
    <mergeCell ref="B172:F172"/>
    <mergeCell ref="B191:F191"/>
    <mergeCell ref="B210:F210"/>
    <mergeCell ref="B229:F229"/>
    <mergeCell ref="B248:F24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/>
      <c r="B1" s="59"/>
      <c r="C1" s="59"/>
      <c r="D1" s="59"/>
      <c r="E1" s="59"/>
      <c r="F1" s="59"/>
      <c r="G1" s="59"/>
      <c r="H1" s="59"/>
      <c r="I1" s="59"/>
    </row>
    <row r="2">
      <c r="A2" s="60" t="s">
        <v>112</v>
      </c>
      <c r="B2" s="59"/>
      <c r="C2" s="61" t="s">
        <v>113</v>
      </c>
      <c r="D2" s="61" t="s">
        <v>114</v>
      </c>
      <c r="E2" s="59" t="s">
        <v>115</v>
      </c>
      <c r="F2" s="59" t="s">
        <v>116</v>
      </c>
      <c r="G2" s="59" t="s">
        <v>117</v>
      </c>
      <c r="H2" s="59" t="s">
        <v>118</v>
      </c>
      <c r="I2" s="59" t="s">
        <v>119</v>
      </c>
    </row>
    <row r="3">
      <c r="A3" s="59"/>
      <c r="B3" s="59"/>
      <c r="C3" s="62"/>
      <c r="D3" s="62"/>
      <c r="E3" s="59"/>
      <c r="F3" s="59"/>
      <c r="G3" s="59"/>
      <c r="H3" s="59"/>
      <c r="I3" s="59"/>
    </row>
    <row r="4">
      <c r="A4" s="63"/>
      <c r="B4" s="59" t="s">
        <v>120</v>
      </c>
      <c r="C4" s="64">
        <v>100000.0</v>
      </c>
      <c r="D4" s="65">
        <v>10.1</v>
      </c>
      <c r="E4" s="66">
        <f t="shared" ref="E4:E5" si="1">D4/C4</f>
        <v>0.000101</v>
      </c>
      <c r="F4" s="67">
        <f t="shared" ref="F4:F5" si="2">SQRT((E4*(1-E4)/C4))</f>
        <v>0.00003177889221</v>
      </c>
      <c r="G4" s="68" t="s">
        <v>121</v>
      </c>
      <c r="H4" s="68" t="s">
        <v>121</v>
      </c>
      <c r="I4" s="68" t="s">
        <v>121</v>
      </c>
    </row>
    <row r="5">
      <c r="A5" s="59"/>
      <c r="B5" s="59" t="s">
        <v>122</v>
      </c>
      <c r="C5" s="64">
        <v>100000.0</v>
      </c>
      <c r="D5" s="61">
        <v>2.74</v>
      </c>
      <c r="E5" s="66">
        <f t="shared" si="1"/>
        <v>0.0000274</v>
      </c>
      <c r="F5" s="67">
        <f t="shared" si="2"/>
        <v>0.00001655271858</v>
      </c>
      <c r="G5" s="69" t="str">
        <f>IF(OR(I5&lt;0.025,I5&gt;0.975),"YES","NO")</f>
        <v>YES</v>
      </c>
      <c r="H5" s="70">
        <f>(E4-E5)/SQRT(POWER(F4,2)+POWER(F5,2))</f>
        <v>2.054063307</v>
      </c>
      <c r="I5" s="70">
        <f>NORMDIST(H5,0,1,TRUE)</f>
        <v>0.9800152176</v>
      </c>
    </row>
    <row r="6">
      <c r="A6" s="59"/>
      <c r="B6" s="59"/>
      <c r="C6" s="59"/>
      <c r="D6" s="59"/>
      <c r="E6" s="59"/>
      <c r="F6" s="59"/>
      <c r="G6" s="59"/>
      <c r="H6" s="59"/>
      <c r="I6" s="71"/>
    </row>
    <row r="7">
      <c r="A7" s="60" t="s">
        <v>123</v>
      </c>
      <c r="B7" s="59"/>
      <c r="C7" s="61" t="s">
        <v>113</v>
      </c>
      <c r="D7" s="61" t="s">
        <v>114</v>
      </c>
      <c r="E7" s="59" t="s">
        <v>115</v>
      </c>
      <c r="F7" s="59" t="s">
        <v>116</v>
      </c>
      <c r="G7" s="59" t="s">
        <v>117</v>
      </c>
      <c r="H7" s="59" t="s">
        <v>118</v>
      </c>
      <c r="I7" s="59" t="s">
        <v>119</v>
      </c>
    </row>
    <row r="8">
      <c r="A8" s="59"/>
      <c r="B8" s="59"/>
      <c r="C8" s="59"/>
      <c r="D8" s="59"/>
      <c r="E8" s="59"/>
      <c r="F8" s="59"/>
      <c r="G8" s="59"/>
      <c r="H8" s="59"/>
      <c r="I8" s="59"/>
    </row>
    <row r="9">
      <c r="A9" s="63"/>
      <c r="B9" s="59" t="s">
        <v>120</v>
      </c>
      <c r="C9" s="64">
        <v>100000.0</v>
      </c>
      <c r="D9" s="62">
        <v>3.8</v>
      </c>
      <c r="E9" s="66">
        <f t="shared" ref="E9:E10" si="3">D9/C9</f>
        <v>0.000038</v>
      </c>
      <c r="F9" s="67">
        <f t="shared" ref="F9:F10" si="4">SQRT((E9*(1-E9)/C9))</f>
        <v>0.00001949321831</v>
      </c>
      <c r="G9" s="68" t="s">
        <v>121</v>
      </c>
      <c r="H9" s="68" t="s">
        <v>121</v>
      </c>
      <c r="I9" s="68" t="s">
        <v>121</v>
      </c>
    </row>
    <row r="10">
      <c r="A10" s="59"/>
      <c r="B10" s="59" t="s">
        <v>122</v>
      </c>
      <c r="C10" s="64">
        <v>100000.0</v>
      </c>
      <c r="D10" s="59">
        <v>2.97</v>
      </c>
      <c r="E10" s="66">
        <f t="shared" si="3"/>
        <v>0.0000297</v>
      </c>
      <c r="F10" s="67">
        <f t="shared" si="4"/>
        <v>0.00001723343202</v>
      </c>
      <c r="G10" s="69" t="str">
        <f>IF(OR(I10&lt;0.025,I10&gt;0.975),"YES","NO")</f>
        <v>NO</v>
      </c>
      <c r="H10" s="70">
        <f>(E9-E10)/SQRT(POWER(F9,2)+POWER(F10,2))</f>
        <v>0.3190003937</v>
      </c>
      <c r="I10" s="70">
        <f>NORMDIST(H10,0,1,TRUE)</f>
        <v>0.6251368929</v>
      </c>
    </row>
    <row r="11">
      <c r="A11" s="59"/>
      <c r="B11" s="59"/>
      <c r="C11" s="59"/>
      <c r="D11" s="59"/>
      <c r="E11" s="59"/>
      <c r="F11" s="59"/>
      <c r="G11" s="59"/>
      <c r="H11" s="59"/>
      <c r="I11" s="59"/>
    </row>
    <row r="12">
      <c r="A12" s="60" t="s">
        <v>124</v>
      </c>
      <c r="B12" s="59"/>
      <c r="C12" s="61" t="s">
        <v>113</v>
      </c>
      <c r="D12" s="61" t="s">
        <v>114</v>
      </c>
      <c r="E12" s="59" t="s">
        <v>115</v>
      </c>
      <c r="F12" s="59" t="s">
        <v>116</v>
      </c>
      <c r="G12" s="59" t="s">
        <v>117</v>
      </c>
      <c r="H12" s="59" t="s">
        <v>118</v>
      </c>
      <c r="I12" s="59" t="s">
        <v>119</v>
      </c>
    </row>
    <row r="13">
      <c r="A13" s="59"/>
      <c r="B13" s="59"/>
      <c r="C13" s="59"/>
      <c r="D13" s="59"/>
      <c r="E13" s="59"/>
      <c r="F13" s="59"/>
      <c r="G13" s="59"/>
      <c r="H13" s="59"/>
      <c r="I13" s="59"/>
    </row>
    <row r="14">
      <c r="A14" s="63"/>
      <c r="B14" s="59" t="s">
        <v>120</v>
      </c>
      <c r="C14" s="64">
        <v>100000.0</v>
      </c>
      <c r="D14" s="21">
        <v>2186.0</v>
      </c>
      <c r="E14" s="66">
        <f t="shared" ref="E14:E15" si="5">D14/C14</f>
        <v>0.02186</v>
      </c>
      <c r="F14" s="67">
        <f t="shared" ref="F14:F15" si="6">SQRT((E14*(1-E14)/C14))</f>
        <v>0.0004624082655</v>
      </c>
      <c r="G14" s="68" t="s">
        <v>121</v>
      </c>
      <c r="H14" s="68" t="s">
        <v>121</v>
      </c>
      <c r="I14" s="68" t="s">
        <v>121</v>
      </c>
    </row>
    <row r="15">
      <c r="A15" s="59"/>
      <c r="B15" s="59" t="s">
        <v>122</v>
      </c>
      <c r="C15" s="64">
        <v>100000.0</v>
      </c>
      <c r="D15" s="19">
        <v>1464.58</v>
      </c>
      <c r="E15" s="66">
        <f t="shared" si="5"/>
        <v>0.0146458</v>
      </c>
      <c r="F15" s="67">
        <f t="shared" si="6"/>
        <v>0.0003798855162</v>
      </c>
      <c r="G15" s="72" t="str">
        <f>IF(OR(I15&lt;0.025,I15&gt;0.975),"YES","NO")</f>
        <v>YES</v>
      </c>
      <c r="H15" s="70">
        <f>(E14-E15)/SQRT(POWER(F14,2)+POWER(F15,2))</f>
        <v>12.05494278</v>
      </c>
      <c r="I15" s="70">
        <f>NORMDIST(H15,0,1,TRUE)</f>
        <v>1</v>
      </c>
      <c r="J15" s="21">
        <v>2186.0</v>
      </c>
      <c r="K15" s="19">
        <v>1464.58</v>
      </c>
    </row>
    <row r="16">
      <c r="A16" s="59"/>
      <c r="B16" s="59"/>
      <c r="C16" s="59"/>
      <c r="D16" s="59"/>
      <c r="E16" s="59"/>
      <c r="F16" s="59"/>
      <c r="G16" s="59"/>
      <c r="H16" s="59"/>
      <c r="I16" s="59"/>
    </row>
    <row r="17">
      <c r="A17" s="60" t="s">
        <v>125</v>
      </c>
      <c r="B17" s="59"/>
      <c r="C17" s="61" t="s">
        <v>113</v>
      </c>
      <c r="D17" s="61" t="s">
        <v>114</v>
      </c>
      <c r="E17" s="59" t="s">
        <v>115</v>
      </c>
      <c r="F17" s="59" t="s">
        <v>116</v>
      </c>
      <c r="G17" s="59" t="s">
        <v>117</v>
      </c>
      <c r="H17" s="59" t="s">
        <v>118</v>
      </c>
      <c r="I17" s="59" t="s">
        <v>119</v>
      </c>
    </row>
    <row r="18">
      <c r="A18" s="59"/>
      <c r="B18" s="59"/>
      <c r="C18" s="59"/>
      <c r="D18" s="59"/>
      <c r="E18" s="59"/>
      <c r="F18" s="59"/>
      <c r="G18" s="59"/>
      <c r="H18" s="59"/>
      <c r="I18" s="59"/>
    </row>
    <row r="19">
      <c r="A19" s="63"/>
      <c r="B19" s="59" t="s">
        <v>120</v>
      </c>
      <c r="C19" s="64">
        <v>100000.0</v>
      </c>
      <c r="D19" s="62">
        <v>17.3</v>
      </c>
      <c r="E19" s="66">
        <f t="shared" ref="E19:E20" si="7">D19/C19</f>
        <v>0.000173</v>
      </c>
      <c r="F19" s="67">
        <f t="shared" ref="F19:F20" si="8">SQRT((E19*(1-E19)/C19))</f>
        <v>0.00004158967071</v>
      </c>
      <c r="G19" s="68" t="s">
        <v>121</v>
      </c>
      <c r="H19" s="68" t="s">
        <v>121</v>
      </c>
      <c r="I19" s="68" t="s">
        <v>121</v>
      </c>
    </row>
    <row r="20">
      <c r="A20" s="59"/>
      <c r="B20" s="59" t="s">
        <v>122</v>
      </c>
      <c r="C20" s="64">
        <v>100000.0</v>
      </c>
      <c r="D20" s="59">
        <v>4.55</v>
      </c>
      <c r="E20" s="66">
        <f t="shared" si="7"/>
        <v>0.0000455</v>
      </c>
      <c r="F20" s="67">
        <f t="shared" si="8"/>
        <v>0.00002133024373</v>
      </c>
      <c r="G20" s="72" t="str">
        <f>IF(OR(I20&lt;0.025,I20&gt;0.975),"YES","NO")</f>
        <v>YES</v>
      </c>
      <c r="H20" s="70">
        <f>(E19-E20)/SQRT(POWER(F19,2)+POWER(F20,2))</f>
        <v>2.727823507</v>
      </c>
      <c r="I20" s="70">
        <f>NORMDIST(H20,0,1,TRUE)</f>
        <v>0.9968123146</v>
      </c>
    </row>
    <row r="21">
      <c r="A21" s="59"/>
      <c r="B21" s="59"/>
      <c r="C21" s="59"/>
      <c r="D21" s="59"/>
      <c r="E21" s="59"/>
      <c r="F21" s="59"/>
      <c r="G21" s="59"/>
      <c r="H21" s="59"/>
      <c r="I21" s="59"/>
    </row>
    <row r="22">
      <c r="A22" s="60" t="s">
        <v>126</v>
      </c>
      <c r="B22" s="59"/>
      <c r="C22" s="61" t="s">
        <v>113</v>
      </c>
      <c r="D22" s="61" t="s">
        <v>114</v>
      </c>
      <c r="E22" s="59" t="s">
        <v>115</v>
      </c>
      <c r="F22" s="59" t="s">
        <v>116</v>
      </c>
      <c r="G22" s="59" t="s">
        <v>117</v>
      </c>
      <c r="H22" s="59" t="s">
        <v>118</v>
      </c>
      <c r="I22" s="59" t="s">
        <v>119</v>
      </c>
    </row>
    <row r="23">
      <c r="A23" s="59"/>
      <c r="B23" s="59"/>
      <c r="C23" s="59"/>
      <c r="D23" s="59"/>
      <c r="E23" s="59"/>
      <c r="F23" s="59"/>
      <c r="G23" s="59"/>
      <c r="H23" s="59"/>
      <c r="I23" s="59"/>
    </row>
    <row r="24">
      <c r="A24" s="63"/>
      <c r="B24" s="59" t="s">
        <v>120</v>
      </c>
      <c r="C24" s="64">
        <v>100000.0</v>
      </c>
      <c r="D24" s="62">
        <v>37.9</v>
      </c>
      <c r="E24" s="66">
        <f t="shared" ref="E24:E25" si="9">D24/C24</f>
        <v>0.000379</v>
      </c>
      <c r="F24" s="67">
        <f t="shared" ref="F24:F25" si="10">SQRT((E24*(1-E24)/C24))</f>
        <v>0.0000615513086</v>
      </c>
      <c r="G24" s="68" t="s">
        <v>121</v>
      </c>
      <c r="H24" s="68" t="s">
        <v>121</v>
      </c>
      <c r="I24" s="68" t="s">
        <v>121</v>
      </c>
    </row>
    <row r="25">
      <c r="A25" s="59"/>
      <c r="B25" s="59" t="s">
        <v>122</v>
      </c>
      <c r="C25" s="64">
        <v>100000.0</v>
      </c>
      <c r="D25" s="59">
        <v>14.35</v>
      </c>
      <c r="E25" s="66">
        <f t="shared" si="9"/>
        <v>0.0001435</v>
      </c>
      <c r="F25" s="67">
        <f t="shared" si="10"/>
        <v>0.00003787867576</v>
      </c>
      <c r="G25" s="72" t="str">
        <f>IF(OR(I25&lt;0.025,I25&gt;0.975),"YES","NO")</f>
        <v>YES</v>
      </c>
      <c r="H25" s="70">
        <f>(E24-E25)/SQRT(POWER(F24,2)+POWER(F25,2))</f>
        <v>3.258487272</v>
      </c>
      <c r="I25" s="70">
        <f>NORMDIST(H25,0,1,TRUE)</f>
        <v>0.9994399605</v>
      </c>
    </row>
    <row r="26">
      <c r="A26" s="59"/>
      <c r="B26" s="59"/>
      <c r="C26" s="59"/>
      <c r="D26" s="73"/>
      <c r="E26" s="59"/>
      <c r="F26" s="59"/>
      <c r="G26" s="59"/>
      <c r="H26" s="59"/>
      <c r="I26" s="59"/>
    </row>
    <row r="27">
      <c r="A27" s="60" t="s">
        <v>127</v>
      </c>
      <c r="B27" s="59"/>
      <c r="C27" s="61" t="s">
        <v>113</v>
      </c>
      <c r="D27" s="61" t="s">
        <v>114</v>
      </c>
      <c r="E27" s="59" t="s">
        <v>115</v>
      </c>
      <c r="F27" s="59" t="s">
        <v>116</v>
      </c>
      <c r="G27" s="59" t="s">
        <v>117</v>
      </c>
      <c r="H27" s="59" t="s">
        <v>118</v>
      </c>
      <c r="I27" s="59" t="s">
        <v>119</v>
      </c>
    </row>
    <row r="28">
      <c r="A28" s="59"/>
      <c r="B28" s="59"/>
      <c r="C28" s="59"/>
      <c r="D28" s="59"/>
      <c r="E28" s="59"/>
      <c r="F28" s="59"/>
      <c r="G28" s="59"/>
      <c r="H28" s="59"/>
      <c r="I28" s="59"/>
    </row>
    <row r="29">
      <c r="A29" s="63"/>
      <c r="B29" s="59" t="s">
        <v>120</v>
      </c>
      <c r="C29" s="64">
        <v>100000.0</v>
      </c>
      <c r="D29" s="62">
        <v>6.9</v>
      </c>
      <c r="E29" s="66">
        <f t="shared" ref="E29:E30" si="11">D29/C29</f>
        <v>0.000069</v>
      </c>
      <c r="F29" s="67">
        <f t="shared" ref="F29:F30" si="12">SQRT((E29*(1-E29)/C29))</f>
        <v>0.00002626694482</v>
      </c>
      <c r="G29" s="68" t="s">
        <v>121</v>
      </c>
      <c r="H29" s="68" t="s">
        <v>121</v>
      </c>
      <c r="I29" s="68" t="s">
        <v>121</v>
      </c>
    </row>
    <row r="30">
      <c r="A30" s="59"/>
      <c r="B30" s="59" t="s">
        <v>122</v>
      </c>
      <c r="C30" s="64">
        <v>100000.0</v>
      </c>
      <c r="D30" s="59">
        <v>2.3</v>
      </c>
      <c r="E30" s="66">
        <f t="shared" si="11"/>
        <v>0.000023</v>
      </c>
      <c r="F30" s="67">
        <f t="shared" si="12"/>
        <v>0.00001516557648</v>
      </c>
      <c r="G30" s="69" t="str">
        <f>IF(OR(I30&lt;0.025,I30&gt;0.975),"YES","NO")</f>
        <v>NO</v>
      </c>
      <c r="H30" s="70">
        <f>(E29-E30)/SQRT(POWER(F29,2)+POWER(F30,2))</f>
        <v>1.516618692</v>
      </c>
      <c r="I30" s="70">
        <f>NORMDIST(H30,0,1,TRUE)</f>
        <v>0.9353185084</v>
      </c>
    </row>
    <row r="31">
      <c r="A31" s="59"/>
      <c r="B31" s="59"/>
      <c r="C31" s="59"/>
      <c r="D31" s="59"/>
      <c r="E31" s="59"/>
      <c r="F31" s="59"/>
      <c r="G31" s="59"/>
      <c r="H31" s="59"/>
      <c r="I31" s="59"/>
    </row>
    <row r="32">
      <c r="A32" s="60" t="s">
        <v>128</v>
      </c>
      <c r="B32" s="59"/>
      <c r="C32" s="61" t="s">
        <v>113</v>
      </c>
      <c r="D32" s="61" t="s">
        <v>114</v>
      </c>
      <c r="E32" s="59" t="s">
        <v>115</v>
      </c>
      <c r="F32" s="59" t="s">
        <v>116</v>
      </c>
      <c r="G32" s="59" t="s">
        <v>117</v>
      </c>
      <c r="H32" s="59" t="s">
        <v>118</v>
      </c>
      <c r="I32" s="59" t="s">
        <v>119</v>
      </c>
    </row>
    <row r="33">
      <c r="A33" s="59"/>
      <c r="B33" s="59"/>
      <c r="C33" s="62"/>
      <c r="D33" s="59"/>
      <c r="E33" s="59"/>
      <c r="F33" s="59"/>
      <c r="G33" s="59"/>
      <c r="H33" s="59"/>
      <c r="I33" s="59"/>
    </row>
    <row r="34">
      <c r="A34" s="63"/>
      <c r="B34" s="59" t="s">
        <v>120</v>
      </c>
      <c r="C34" s="64">
        <v>100000.0</v>
      </c>
      <c r="D34" s="62">
        <v>59.5</v>
      </c>
      <c r="E34" s="66">
        <f t="shared" ref="E34:E35" si="13">D34/C34</f>
        <v>0.000595</v>
      </c>
      <c r="F34" s="67">
        <f t="shared" ref="F34:F35" si="14">SQRT((E34*(1-E34)/C34))</f>
        <v>0.00007711329166</v>
      </c>
      <c r="G34" s="68" t="s">
        <v>121</v>
      </c>
      <c r="H34" s="68" t="s">
        <v>121</v>
      </c>
      <c r="I34" s="68" t="s">
        <v>121</v>
      </c>
    </row>
    <row r="35">
      <c r="A35" s="59"/>
      <c r="B35" s="59" t="s">
        <v>122</v>
      </c>
      <c r="C35" s="64">
        <v>100000.0</v>
      </c>
      <c r="D35" s="74">
        <v>15.68</v>
      </c>
      <c r="E35" s="66">
        <f t="shared" si="13"/>
        <v>0.0001568</v>
      </c>
      <c r="F35" s="67">
        <f t="shared" si="14"/>
        <v>0.00003959487514</v>
      </c>
      <c r="G35" s="72" t="str">
        <f>IF(OR(I35&lt;0.025,I35&gt;0.975),"YES","NO")</f>
        <v>YES</v>
      </c>
      <c r="H35" s="70">
        <f>(E34-E35)/SQRT(POWER(F34,2)+POWER(F35,2))</f>
        <v>5.055109842</v>
      </c>
      <c r="I35" s="70">
        <f>NORMDIST(H35,0,1,TRUE)</f>
        <v>0.9999997849</v>
      </c>
    </row>
  </sheetData>
  <drawing r:id="rId1"/>
</worksheet>
</file>