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F:\software\xampp\htdocs\sma\analisis\"/>
    </mc:Choice>
  </mc:AlternateContent>
  <xr:revisionPtr revIDLastSave="0" documentId="13_ncr:1_{E38364E5-D96A-4FE4-AC2D-674AF7D5C286}" xr6:coauthVersionLast="44" xr6:coauthVersionMax="44" xr10:uidLastSave="{00000000-0000-0000-0000-000000000000}"/>
  <bookViews>
    <workbookView xWindow="-120" yWindow="-120" windowWidth="20730" windowHeight="11760" firstSheet="2" activeTab="3" xr2:uid="{00000000-000D-0000-FFFF-FFFF00000000}"/>
  </bookViews>
  <sheets>
    <sheet name="Data1" sheetId="5" r:id="rId1"/>
    <sheet name="Data2" sheetId="4" r:id="rId2"/>
    <sheet name="Proses" sheetId="1" r:id="rId3"/>
    <sheet name="Report" sheetId="2" r:id="rId4"/>
    <sheet name="Sheet1" sheetId="8" r:id="rId5"/>
    <sheet name="Analisis" sheetId="3" r:id="rId6"/>
    <sheet name="Daftar Nilai Remedial" sheetId="6" r:id="rId7"/>
    <sheet name="Remedial dan Pengayaan" sheetId="7" r:id="rId8"/>
  </sheets>
  <definedNames>
    <definedName name="_xlnm._FilterDatabase" localSheetId="0" hidden="1">Data1!#REF!</definedName>
    <definedName name="_xlnm.Print_Area" localSheetId="0">Data1!$B:$O</definedName>
    <definedName name="_xlnm.Print_Area" localSheetId="3">Report!$B:$K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2" i="8" l="1"/>
  <c r="E64" i="2"/>
  <c r="F38" i="2" l="1"/>
  <c r="E31" i="1"/>
  <c r="D65" i="5"/>
  <c r="L68" i="5"/>
  <c r="L68" i="7"/>
  <c r="M59" i="7"/>
  <c r="L59" i="7"/>
  <c r="K59" i="7"/>
  <c r="J59" i="7"/>
  <c r="I59" i="7"/>
  <c r="H59" i="7"/>
  <c r="G59" i="7"/>
  <c r="F59" i="7"/>
  <c r="E59" i="7"/>
  <c r="D59" i="7"/>
  <c r="M58" i="7"/>
  <c r="L58" i="7"/>
  <c r="K58" i="7"/>
  <c r="J58" i="7"/>
  <c r="I58" i="7"/>
  <c r="H58" i="7"/>
  <c r="G58" i="7"/>
  <c r="F58" i="7"/>
  <c r="E58" i="7"/>
  <c r="D58" i="7"/>
  <c r="M57" i="7"/>
  <c r="L57" i="7"/>
  <c r="K57" i="7"/>
  <c r="J57" i="7"/>
  <c r="I57" i="7"/>
  <c r="H57" i="7"/>
  <c r="G57" i="7"/>
  <c r="F57" i="7"/>
  <c r="E57" i="7"/>
  <c r="D57" i="7"/>
  <c r="N57" i="7" s="1"/>
  <c r="M56" i="7"/>
  <c r="L56" i="7"/>
  <c r="K56" i="7"/>
  <c r="J56" i="7"/>
  <c r="I56" i="7"/>
  <c r="H56" i="7"/>
  <c r="G56" i="7"/>
  <c r="F56" i="7"/>
  <c r="E56" i="7"/>
  <c r="D56" i="7"/>
  <c r="M55" i="7"/>
  <c r="L55" i="7"/>
  <c r="K55" i="7"/>
  <c r="J55" i="7"/>
  <c r="I55" i="7"/>
  <c r="H55" i="7"/>
  <c r="G55" i="7"/>
  <c r="F55" i="7"/>
  <c r="E55" i="7"/>
  <c r="D55" i="7"/>
  <c r="N55" i="7" s="1"/>
  <c r="M54" i="7"/>
  <c r="L54" i="7"/>
  <c r="K54" i="7"/>
  <c r="J54" i="7"/>
  <c r="I54" i="7"/>
  <c r="H54" i="7"/>
  <c r="G54" i="7"/>
  <c r="F54" i="7"/>
  <c r="E54" i="7"/>
  <c r="D54" i="7"/>
  <c r="M53" i="7"/>
  <c r="L53" i="7"/>
  <c r="K53" i="7"/>
  <c r="J53" i="7"/>
  <c r="I53" i="7"/>
  <c r="H53" i="7"/>
  <c r="G53" i="7"/>
  <c r="F53" i="7"/>
  <c r="E53" i="7"/>
  <c r="D53" i="7"/>
  <c r="M52" i="7"/>
  <c r="L52" i="7"/>
  <c r="K52" i="7"/>
  <c r="J52" i="7"/>
  <c r="I52" i="7"/>
  <c r="H52" i="7"/>
  <c r="G52" i="7"/>
  <c r="F52" i="7"/>
  <c r="E52" i="7"/>
  <c r="D52" i="7"/>
  <c r="M51" i="7"/>
  <c r="L51" i="7"/>
  <c r="K51" i="7"/>
  <c r="J51" i="7"/>
  <c r="I51" i="7"/>
  <c r="H51" i="7"/>
  <c r="G51" i="7"/>
  <c r="F51" i="7"/>
  <c r="E51" i="7"/>
  <c r="D51" i="7"/>
  <c r="N51" i="7" s="1"/>
  <c r="M50" i="7"/>
  <c r="L50" i="7"/>
  <c r="K50" i="7"/>
  <c r="J50" i="7"/>
  <c r="I50" i="7"/>
  <c r="H50" i="7"/>
  <c r="G50" i="7"/>
  <c r="F50" i="7"/>
  <c r="E50" i="7"/>
  <c r="D50" i="7"/>
  <c r="M49" i="7"/>
  <c r="L49" i="7"/>
  <c r="K49" i="7"/>
  <c r="J49" i="7"/>
  <c r="I49" i="7"/>
  <c r="H49" i="7"/>
  <c r="G49" i="7"/>
  <c r="F49" i="7"/>
  <c r="E49" i="7"/>
  <c r="D49" i="7"/>
  <c r="N49" i="7" s="1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N47" i="7" s="1"/>
  <c r="M46" i="7"/>
  <c r="L46" i="7"/>
  <c r="K46" i="7"/>
  <c r="J46" i="7"/>
  <c r="I46" i="7"/>
  <c r="H46" i="7"/>
  <c r="G46" i="7"/>
  <c r="F46" i="7"/>
  <c r="E46" i="7"/>
  <c r="D46" i="7"/>
  <c r="M45" i="7"/>
  <c r="L45" i="7"/>
  <c r="K45" i="7"/>
  <c r="J45" i="7"/>
  <c r="I45" i="7"/>
  <c r="H45" i="7"/>
  <c r="G45" i="7"/>
  <c r="F45" i="7"/>
  <c r="E45" i="7"/>
  <c r="D45" i="7"/>
  <c r="N45" i="7" s="1"/>
  <c r="M44" i="7"/>
  <c r="L44" i="7"/>
  <c r="K44" i="7"/>
  <c r="J44" i="7"/>
  <c r="I44" i="7"/>
  <c r="H44" i="7"/>
  <c r="G44" i="7"/>
  <c r="F44" i="7"/>
  <c r="E44" i="7"/>
  <c r="D44" i="7"/>
  <c r="M43" i="7"/>
  <c r="L43" i="7"/>
  <c r="K43" i="7"/>
  <c r="J43" i="7"/>
  <c r="I43" i="7"/>
  <c r="H43" i="7"/>
  <c r="G43" i="7"/>
  <c r="F43" i="7"/>
  <c r="E43" i="7"/>
  <c r="D43" i="7"/>
  <c r="N43" i="7" s="1"/>
  <c r="M42" i="7"/>
  <c r="L42" i="7"/>
  <c r="K42" i="7"/>
  <c r="J42" i="7"/>
  <c r="I42" i="7"/>
  <c r="H42" i="7"/>
  <c r="G42" i="7"/>
  <c r="F42" i="7"/>
  <c r="E42" i="7"/>
  <c r="D42" i="7"/>
  <c r="M41" i="7"/>
  <c r="L41" i="7"/>
  <c r="K41" i="7"/>
  <c r="J41" i="7"/>
  <c r="I41" i="7"/>
  <c r="H41" i="7"/>
  <c r="G41" i="7"/>
  <c r="F41" i="7"/>
  <c r="E41" i="7"/>
  <c r="D41" i="7"/>
  <c r="N41" i="7" s="1"/>
  <c r="M40" i="7"/>
  <c r="L40" i="7"/>
  <c r="K40" i="7"/>
  <c r="J40" i="7"/>
  <c r="I40" i="7"/>
  <c r="H40" i="7"/>
  <c r="G40" i="7"/>
  <c r="F40" i="7"/>
  <c r="E40" i="7"/>
  <c r="D40" i="7"/>
  <c r="M39" i="7"/>
  <c r="L39" i="7"/>
  <c r="K39" i="7"/>
  <c r="J39" i="7"/>
  <c r="I39" i="7"/>
  <c r="H39" i="7"/>
  <c r="G39" i="7"/>
  <c r="F39" i="7"/>
  <c r="E39" i="7"/>
  <c r="D39" i="7"/>
  <c r="N39" i="7" s="1"/>
  <c r="M38" i="7"/>
  <c r="L38" i="7"/>
  <c r="K38" i="7"/>
  <c r="J38" i="7"/>
  <c r="I38" i="7"/>
  <c r="H38" i="7"/>
  <c r="G38" i="7"/>
  <c r="F38" i="7"/>
  <c r="E38" i="7"/>
  <c r="D38" i="7"/>
  <c r="M37" i="7"/>
  <c r="L37" i="7"/>
  <c r="K37" i="7"/>
  <c r="J37" i="7"/>
  <c r="I37" i="7"/>
  <c r="H37" i="7"/>
  <c r="G37" i="7"/>
  <c r="F37" i="7"/>
  <c r="E37" i="7"/>
  <c r="D37" i="7"/>
  <c r="N37" i="7" s="1"/>
  <c r="M36" i="7"/>
  <c r="L36" i="7"/>
  <c r="K36" i="7"/>
  <c r="J36" i="7"/>
  <c r="I36" i="7"/>
  <c r="H36" i="7"/>
  <c r="G36" i="7"/>
  <c r="F36" i="7"/>
  <c r="E36" i="7"/>
  <c r="D36" i="7"/>
  <c r="M35" i="7"/>
  <c r="L35" i="7"/>
  <c r="K35" i="7"/>
  <c r="J35" i="7"/>
  <c r="I35" i="7"/>
  <c r="H35" i="7"/>
  <c r="G35" i="7"/>
  <c r="F35" i="7"/>
  <c r="E35" i="7"/>
  <c r="D35" i="7"/>
  <c r="N35" i="7" s="1"/>
  <c r="M34" i="7"/>
  <c r="L34" i="7"/>
  <c r="K34" i="7"/>
  <c r="J34" i="7"/>
  <c r="I34" i="7"/>
  <c r="H34" i="7"/>
  <c r="G34" i="7"/>
  <c r="F34" i="7"/>
  <c r="E34" i="7"/>
  <c r="D34" i="7"/>
  <c r="M33" i="7"/>
  <c r="L33" i="7"/>
  <c r="K33" i="7"/>
  <c r="J33" i="7"/>
  <c r="I33" i="7"/>
  <c r="H33" i="7"/>
  <c r="G33" i="7"/>
  <c r="F33" i="7"/>
  <c r="E33" i="7"/>
  <c r="D33" i="7"/>
  <c r="N33" i="7" s="1"/>
  <c r="M32" i="7"/>
  <c r="L32" i="7"/>
  <c r="K32" i="7"/>
  <c r="J32" i="7"/>
  <c r="I32" i="7"/>
  <c r="H32" i="7"/>
  <c r="G32" i="7"/>
  <c r="F32" i="7"/>
  <c r="E32" i="7"/>
  <c r="D32" i="7"/>
  <c r="M31" i="7"/>
  <c r="L31" i="7"/>
  <c r="K31" i="7"/>
  <c r="J31" i="7"/>
  <c r="I31" i="7"/>
  <c r="H31" i="7"/>
  <c r="G31" i="7"/>
  <c r="F31" i="7"/>
  <c r="E31" i="7"/>
  <c r="D31" i="7"/>
  <c r="N31" i="7" s="1"/>
  <c r="M30" i="7"/>
  <c r="L30" i="7"/>
  <c r="K30" i="7"/>
  <c r="J30" i="7"/>
  <c r="I30" i="7"/>
  <c r="H30" i="7"/>
  <c r="G30" i="7"/>
  <c r="F30" i="7"/>
  <c r="E30" i="7"/>
  <c r="D30" i="7"/>
  <c r="M29" i="7"/>
  <c r="L29" i="7"/>
  <c r="K29" i="7"/>
  <c r="J29" i="7"/>
  <c r="I29" i="7"/>
  <c r="H29" i="7"/>
  <c r="G29" i="7"/>
  <c r="F29" i="7"/>
  <c r="E29" i="7"/>
  <c r="D29" i="7"/>
  <c r="N29" i="7" s="1"/>
  <c r="M28" i="7"/>
  <c r="L28" i="7"/>
  <c r="K28" i="7"/>
  <c r="J28" i="7"/>
  <c r="I28" i="7"/>
  <c r="H28" i="7"/>
  <c r="G28" i="7"/>
  <c r="F28" i="7"/>
  <c r="E28" i="7"/>
  <c r="D28" i="7"/>
  <c r="M27" i="7"/>
  <c r="L27" i="7"/>
  <c r="K27" i="7"/>
  <c r="J27" i="7"/>
  <c r="I27" i="7"/>
  <c r="H27" i="7"/>
  <c r="G27" i="7"/>
  <c r="F27" i="7"/>
  <c r="E27" i="7"/>
  <c r="D27" i="7"/>
  <c r="N27" i="7" s="1"/>
  <c r="M26" i="7"/>
  <c r="L26" i="7"/>
  <c r="K26" i="7"/>
  <c r="J26" i="7"/>
  <c r="I26" i="7"/>
  <c r="H26" i="7"/>
  <c r="G26" i="7"/>
  <c r="F26" i="7"/>
  <c r="E26" i="7"/>
  <c r="D26" i="7"/>
  <c r="M25" i="7"/>
  <c r="L25" i="7"/>
  <c r="K25" i="7"/>
  <c r="J25" i="7"/>
  <c r="I25" i="7"/>
  <c r="H25" i="7"/>
  <c r="G25" i="7"/>
  <c r="F25" i="7"/>
  <c r="E25" i="7"/>
  <c r="D25" i="7"/>
  <c r="M24" i="7"/>
  <c r="L24" i="7"/>
  <c r="K24" i="7"/>
  <c r="J24" i="7"/>
  <c r="I24" i="7"/>
  <c r="H24" i="7"/>
  <c r="G24" i="7"/>
  <c r="F24" i="7"/>
  <c r="E24" i="7"/>
  <c r="D24" i="7"/>
  <c r="G48" i="6"/>
  <c r="E13" i="7"/>
  <c r="E12" i="7"/>
  <c r="E11" i="7"/>
  <c r="E9" i="7"/>
  <c r="E8" i="7"/>
  <c r="E7" i="7"/>
  <c r="E6" i="7"/>
  <c r="E5" i="7"/>
  <c r="M19" i="7"/>
  <c r="L19" i="7"/>
  <c r="K19" i="7"/>
  <c r="J19" i="7"/>
  <c r="I19" i="7"/>
  <c r="C76" i="7"/>
  <c r="C75" i="7"/>
  <c r="M61" i="7"/>
  <c r="I61" i="7"/>
  <c r="G61" i="7"/>
  <c r="O64" i="7"/>
  <c r="N59" i="7"/>
  <c r="N58" i="7"/>
  <c r="N56" i="7"/>
  <c r="N54" i="7"/>
  <c r="N50" i="7"/>
  <c r="N48" i="7"/>
  <c r="N46" i="7"/>
  <c r="N44" i="7"/>
  <c r="N42" i="7"/>
  <c r="N40" i="7"/>
  <c r="N38" i="7"/>
  <c r="N36" i="7"/>
  <c r="N34" i="7"/>
  <c r="N32" i="7"/>
  <c r="N30" i="7"/>
  <c r="N25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H19" i="7"/>
  <c r="G19" i="7"/>
  <c r="F19" i="7"/>
  <c r="E19" i="7"/>
  <c r="D19" i="7"/>
  <c r="N26" i="7" l="1"/>
  <c r="E61" i="7"/>
  <c r="K61" i="7"/>
  <c r="N53" i="7"/>
  <c r="N52" i="7"/>
  <c r="N28" i="7"/>
  <c r="F61" i="7"/>
  <c r="J61" i="7"/>
  <c r="N24" i="7"/>
  <c r="D61" i="7"/>
  <c r="H61" i="7"/>
  <c r="L61" i="7"/>
  <c r="D66" i="7" l="1"/>
  <c r="K62" i="7" s="1"/>
  <c r="K63" i="7" s="1"/>
  <c r="K64" i="7" s="1"/>
  <c r="K65" i="7" s="1"/>
  <c r="J62" i="7" l="1"/>
  <c r="J63" i="7" s="1"/>
  <c r="J64" i="7" s="1"/>
  <c r="J65" i="7" s="1"/>
  <c r="E62" i="7"/>
  <c r="E63" i="7" s="1"/>
  <c r="E64" i="7" s="1"/>
  <c r="E65" i="7" s="1"/>
  <c r="H62" i="7"/>
  <c r="H63" i="7" s="1"/>
  <c r="H64" i="7" s="1"/>
  <c r="H65" i="7" s="1"/>
  <c r="M62" i="7"/>
  <c r="M63" i="7" s="1"/>
  <c r="M64" i="7" s="1"/>
  <c r="M65" i="7" s="1"/>
  <c r="L62" i="7"/>
  <c r="L63" i="7" s="1"/>
  <c r="L64" i="7" s="1"/>
  <c r="L65" i="7" s="1"/>
  <c r="F62" i="7"/>
  <c r="F63" i="7" s="1"/>
  <c r="F64" i="7" s="1"/>
  <c r="F65" i="7" s="1"/>
  <c r="D62" i="7"/>
  <c r="D63" i="7" s="1"/>
  <c r="D64" i="7" s="1"/>
  <c r="D65" i="7" s="1"/>
  <c r="I62" i="7"/>
  <c r="I63" i="7" s="1"/>
  <c r="I64" i="7" s="1"/>
  <c r="I65" i="7" s="1"/>
  <c r="G62" i="7"/>
  <c r="G63" i="7" s="1"/>
  <c r="G64" i="7" s="1"/>
  <c r="G65" i="7" s="1"/>
  <c r="M61" i="5"/>
  <c r="L61" i="5"/>
  <c r="K61" i="5"/>
  <c r="J61" i="5"/>
  <c r="I61" i="5"/>
  <c r="H61" i="5"/>
  <c r="G61" i="5"/>
  <c r="F61" i="5"/>
  <c r="E61" i="5"/>
  <c r="D61" i="5"/>
  <c r="N19" i="7" l="1"/>
  <c r="O57" i="7" s="1"/>
  <c r="E42" i="6" s="1"/>
  <c r="E10" i="2"/>
  <c r="C54" i="6"/>
  <c r="C53" i="6"/>
  <c r="D5" i="6"/>
  <c r="D4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D3" i="6"/>
  <c r="C128" i="6"/>
  <c r="C127" i="6"/>
  <c r="C126" i="6"/>
  <c r="F85" i="6"/>
  <c r="C124" i="6" s="1"/>
  <c r="H77" i="6"/>
  <c r="E72" i="6"/>
  <c r="G72" i="6" s="1"/>
  <c r="E71" i="6"/>
  <c r="G71" i="6" s="1"/>
  <c r="E70" i="6"/>
  <c r="G70" i="6" s="1"/>
  <c r="E68" i="6"/>
  <c r="G68" i="6" s="1"/>
  <c r="E119" i="6"/>
  <c r="D162" i="6" s="1"/>
  <c r="E118" i="6"/>
  <c r="D161" i="6" s="1"/>
  <c r="E117" i="6"/>
  <c r="D160" i="6" s="1"/>
  <c r="O38" i="7" l="1"/>
  <c r="E23" i="6" s="1"/>
  <c r="O49" i="7"/>
  <c r="E34" i="6" s="1"/>
  <c r="O34" i="7"/>
  <c r="E19" i="6" s="1"/>
  <c r="O50" i="7"/>
  <c r="E35" i="6" s="1"/>
  <c r="O29" i="7"/>
  <c r="E14" i="6" s="1"/>
  <c r="O45" i="7"/>
  <c r="E30" i="6" s="1"/>
  <c r="O28" i="7"/>
  <c r="E13" i="6" s="1"/>
  <c r="O44" i="7"/>
  <c r="E29" i="6" s="1"/>
  <c r="O27" i="7"/>
  <c r="E12" i="6" s="1"/>
  <c r="O43" i="7"/>
  <c r="E28" i="6" s="1"/>
  <c r="O30" i="7"/>
  <c r="E15" i="6" s="1"/>
  <c r="O46" i="7"/>
  <c r="E31" i="6" s="1"/>
  <c r="O25" i="7"/>
  <c r="E10" i="6" s="1"/>
  <c r="O41" i="7"/>
  <c r="E26" i="6" s="1"/>
  <c r="O24" i="7"/>
  <c r="E9" i="6" s="1"/>
  <c r="O40" i="7"/>
  <c r="E25" i="6" s="1"/>
  <c r="O56" i="7"/>
  <c r="E41" i="6" s="1"/>
  <c r="O39" i="7"/>
  <c r="E24" i="6" s="1"/>
  <c r="O55" i="7"/>
  <c r="E40" i="6" s="1"/>
  <c r="O33" i="7"/>
  <c r="E18" i="6" s="1"/>
  <c r="O48" i="7"/>
  <c r="E33" i="6" s="1"/>
  <c r="O47" i="7"/>
  <c r="E32" i="6" s="1"/>
  <c r="O26" i="7"/>
  <c r="E11" i="6" s="1"/>
  <c r="O42" i="7"/>
  <c r="E27" i="6" s="1"/>
  <c r="O58" i="7"/>
  <c r="E43" i="6" s="1"/>
  <c r="O37" i="7"/>
  <c r="E22" i="6" s="1"/>
  <c r="O53" i="7"/>
  <c r="E38" i="6" s="1"/>
  <c r="O36" i="7"/>
  <c r="E21" i="6" s="1"/>
  <c r="O52" i="7"/>
  <c r="E37" i="6" s="1"/>
  <c r="O35" i="7"/>
  <c r="E20" i="6" s="1"/>
  <c r="O51" i="7"/>
  <c r="E36" i="6" s="1"/>
  <c r="O54" i="7"/>
  <c r="E39" i="6" s="1"/>
  <c r="O32" i="7"/>
  <c r="E17" i="6" s="1"/>
  <c r="O31" i="7"/>
  <c r="E16" i="6" s="1"/>
  <c r="O59" i="7"/>
  <c r="E44" i="6" s="1"/>
  <c r="H124" i="6"/>
  <c r="D124" i="6"/>
  <c r="I124" i="6"/>
  <c r="E124" i="6"/>
  <c r="F124" i="6"/>
  <c r="G124" i="6"/>
  <c r="J169" i="6"/>
  <c r="H66" i="6"/>
  <c r="E69" i="6"/>
  <c r="G69" i="6" s="1"/>
  <c r="J170" i="6"/>
  <c r="H79" i="6" l="1"/>
  <c r="H78" i="6"/>
  <c r="H73" i="6"/>
  <c r="E120" i="6" s="1"/>
  <c r="D163" i="6"/>
  <c r="J168" i="6"/>
  <c r="H67" i="6"/>
  <c r="J75" i="5"/>
  <c r="E12" i="2"/>
  <c r="I43" i="3"/>
  <c r="F25" i="4"/>
  <c r="H17" i="1" s="1"/>
  <c r="D37" i="3"/>
  <c r="V37" i="3"/>
  <c r="C72" i="2"/>
  <c r="G25" i="4"/>
  <c r="I17" i="1" s="1"/>
  <c r="E25" i="4"/>
  <c r="G17" i="1" s="1"/>
  <c r="C25" i="4"/>
  <c r="E17" i="1" s="1"/>
  <c r="X38" i="4"/>
  <c r="Y38" i="4"/>
  <c r="Z38" i="4"/>
  <c r="AA38" i="4"/>
  <c r="AB38" i="4"/>
  <c r="X18" i="4"/>
  <c r="Y18" i="4"/>
  <c r="Z18" i="4"/>
  <c r="AA18" i="4"/>
  <c r="AB18" i="4"/>
  <c r="X31" i="4"/>
  <c r="Y31" i="4"/>
  <c r="Z31" i="4"/>
  <c r="AA31" i="4"/>
  <c r="AB31" i="4"/>
  <c r="X23" i="4"/>
  <c r="Y23" i="4"/>
  <c r="Z23" i="4"/>
  <c r="AA23" i="4"/>
  <c r="AB23" i="4"/>
  <c r="X43" i="4"/>
  <c r="Y43" i="4"/>
  <c r="Z43" i="4"/>
  <c r="AA43" i="4"/>
  <c r="AB43" i="4"/>
  <c r="X28" i="4"/>
  <c r="Y28" i="4"/>
  <c r="Z28" i="4"/>
  <c r="AA28" i="4"/>
  <c r="AB28" i="4"/>
  <c r="X37" i="4"/>
  <c r="Y37" i="4"/>
  <c r="Z37" i="4"/>
  <c r="AA37" i="4"/>
  <c r="AB37" i="4"/>
  <c r="X12" i="4"/>
  <c r="Y12" i="4"/>
  <c r="Z12" i="4"/>
  <c r="AA12" i="4"/>
  <c r="AB12" i="4"/>
  <c r="X25" i="4"/>
  <c r="Y25" i="4"/>
  <c r="Z25" i="4"/>
  <c r="AA25" i="4"/>
  <c r="AB25" i="4"/>
  <c r="X19" i="4"/>
  <c r="Y19" i="4"/>
  <c r="Z19" i="4"/>
  <c r="AA19" i="4"/>
  <c r="AB19" i="4"/>
  <c r="X42" i="4"/>
  <c r="Y42" i="4"/>
  <c r="Z42" i="4"/>
  <c r="AA42" i="4"/>
  <c r="AB42" i="4"/>
  <c r="X40" i="4"/>
  <c r="Y40" i="4"/>
  <c r="Z40" i="4"/>
  <c r="AA40" i="4"/>
  <c r="AB40" i="4"/>
  <c r="X35" i="4"/>
  <c r="Y35" i="4"/>
  <c r="Z35" i="4"/>
  <c r="AA35" i="4"/>
  <c r="AB35" i="4"/>
  <c r="X11" i="4"/>
  <c r="Y11" i="4"/>
  <c r="Z11" i="4"/>
  <c r="AA11" i="4"/>
  <c r="AB11" i="4"/>
  <c r="X41" i="4"/>
  <c r="Y41" i="4"/>
  <c r="Z41" i="4"/>
  <c r="AA41" i="4"/>
  <c r="AB41" i="4"/>
  <c r="X26" i="4"/>
  <c r="Y26" i="4"/>
  <c r="Z26" i="4"/>
  <c r="AA26" i="4"/>
  <c r="AB26" i="4"/>
  <c r="X24" i="4"/>
  <c r="Y24" i="4"/>
  <c r="Z24" i="4"/>
  <c r="AA24" i="4"/>
  <c r="AB24" i="4"/>
  <c r="X27" i="4"/>
  <c r="Y27" i="4"/>
  <c r="Z27" i="4"/>
  <c r="AA27" i="4"/>
  <c r="AB27" i="4"/>
  <c r="X21" i="4"/>
  <c r="Y21" i="4"/>
  <c r="Z21" i="4"/>
  <c r="AA21" i="4"/>
  <c r="AB21" i="4"/>
  <c r="X36" i="4"/>
  <c r="Y36" i="4"/>
  <c r="Z36" i="4"/>
  <c r="AA36" i="4"/>
  <c r="AB36" i="4"/>
  <c r="X17" i="4"/>
  <c r="Y17" i="4"/>
  <c r="Z17" i="4"/>
  <c r="AA17" i="4"/>
  <c r="AB17" i="4"/>
  <c r="X13" i="4"/>
  <c r="Y13" i="4"/>
  <c r="Z13" i="4"/>
  <c r="AA13" i="4"/>
  <c r="AB13" i="4"/>
  <c r="X33" i="4"/>
  <c r="Y33" i="4"/>
  <c r="Z33" i="4"/>
  <c r="AA33" i="4"/>
  <c r="AB33" i="4"/>
  <c r="X34" i="4"/>
  <c r="Y34" i="4"/>
  <c r="Z34" i="4"/>
  <c r="AA34" i="4"/>
  <c r="AB34" i="4"/>
  <c r="X15" i="4"/>
  <c r="Y15" i="4"/>
  <c r="Z15" i="4"/>
  <c r="AA15" i="4"/>
  <c r="AB15" i="4"/>
  <c r="X14" i="4"/>
  <c r="Y14" i="4"/>
  <c r="Z14" i="4"/>
  <c r="AA14" i="4"/>
  <c r="AB14" i="4"/>
  <c r="X45" i="4"/>
  <c r="Y45" i="4"/>
  <c r="Z45" i="4"/>
  <c r="AA45" i="4"/>
  <c r="AB45" i="4"/>
  <c r="X16" i="4"/>
  <c r="Y16" i="4"/>
  <c r="Z16" i="4"/>
  <c r="AA16" i="4"/>
  <c r="AB16" i="4"/>
  <c r="X39" i="4"/>
  <c r="Y39" i="4"/>
  <c r="Z39" i="4"/>
  <c r="AA39" i="4"/>
  <c r="AB39" i="4"/>
  <c r="X22" i="4"/>
  <c r="Y22" i="4"/>
  <c r="Z22" i="4"/>
  <c r="AA22" i="4"/>
  <c r="AB22" i="4"/>
  <c r="X29" i="4"/>
  <c r="Y29" i="4"/>
  <c r="Z29" i="4"/>
  <c r="AA29" i="4"/>
  <c r="AB29" i="4"/>
  <c r="X20" i="4"/>
  <c r="Y20" i="4"/>
  <c r="Z20" i="4"/>
  <c r="AA20" i="4"/>
  <c r="AB20" i="4"/>
  <c r="X10" i="4"/>
  <c r="Y10" i="4"/>
  <c r="Z10" i="4"/>
  <c r="AA10" i="4"/>
  <c r="AB10" i="4"/>
  <c r="X32" i="4"/>
  <c r="Y32" i="4"/>
  <c r="Z32" i="4"/>
  <c r="AA32" i="4"/>
  <c r="AB32" i="4"/>
  <c r="X30" i="4"/>
  <c r="Y30" i="4"/>
  <c r="Z30" i="4"/>
  <c r="AA30" i="4"/>
  <c r="AB30" i="4"/>
  <c r="X47" i="4"/>
  <c r="Y47" i="4"/>
  <c r="Z47" i="4"/>
  <c r="AA47" i="4"/>
  <c r="AB47" i="4"/>
  <c r="X44" i="4"/>
  <c r="Y44" i="4"/>
  <c r="Z44" i="4"/>
  <c r="AA44" i="4"/>
  <c r="AB44" i="4"/>
  <c r="A46" i="3"/>
  <c r="S43" i="3"/>
  <c r="S42" i="3"/>
  <c r="S41" i="3"/>
  <c r="I42" i="3"/>
  <c r="I41" i="3"/>
  <c r="A42" i="3"/>
  <c r="A41" i="3"/>
  <c r="C26" i="4"/>
  <c r="E20" i="1" s="1"/>
  <c r="D26" i="4"/>
  <c r="F20" i="1" s="1"/>
  <c r="E26" i="4"/>
  <c r="G20" i="1" s="1"/>
  <c r="F26" i="4"/>
  <c r="G26" i="4"/>
  <c r="I20" i="1" s="1"/>
  <c r="C45" i="4"/>
  <c r="E21" i="1" s="1"/>
  <c r="D45" i="4"/>
  <c r="F21" i="1" s="1"/>
  <c r="E45" i="4"/>
  <c r="G21" i="1" s="1"/>
  <c r="F45" i="4"/>
  <c r="H21" i="1" s="1"/>
  <c r="G45" i="4"/>
  <c r="I21" i="1" s="1"/>
  <c r="I45" i="4"/>
  <c r="K21" i="1" s="1"/>
  <c r="J45" i="4"/>
  <c r="K45" i="4"/>
  <c r="M21" i="1" s="1"/>
  <c r="L45" i="4"/>
  <c r="N21" i="1" s="1"/>
  <c r="H45" i="4"/>
  <c r="I26" i="4"/>
  <c r="J26" i="4"/>
  <c r="K26" i="4"/>
  <c r="L26" i="4"/>
  <c r="H26" i="4"/>
  <c r="N19" i="5"/>
  <c r="S24" i="4"/>
  <c r="T24" i="4"/>
  <c r="U24" i="4"/>
  <c r="V24" i="4"/>
  <c r="W24" i="4"/>
  <c r="S40" i="4"/>
  <c r="T40" i="4"/>
  <c r="U40" i="4"/>
  <c r="V40" i="4"/>
  <c r="W40" i="4"/>
  <c r="S17" i="4"/>
  <c r="T17" i="4"/>
  <c r="U17" i="4"/>
  <c r="V17" i="4"/>
  <c r="W17" i="4"/>
  <c r="S25" i="4"/>
  <c r="T25" i="4"/>
  <c r="U25" i="4"/>
  <c r="V25" i="4"/>
  <c r="W25" i="4"/>
  <c r="S38" i="4"/>
  <c r="T38" i="4"/>
  <c r="U38" i="4"/>
  <c r="V38" i="4"/>
  <c r="W38" i="4"/>
  <c r="S18" i="4"/>
  <c r="T18" i="4"/>
  <c r="U18" i="4"/>
  <c r="V18" i="4"/>
  <c r="W18" i="4"/>
  <c r="S19" i="4"/>
  <c r="T19" i="4"/>
  <c r="U19" i="4"/>
  <c r="V19" i="4"/>
  <c r="W19" i="4"/>
  <c r="S35" i="4"/>
  <c r="T35" i="4"/>
  <c r="U35" i="4"/>
  <c r="V35" i="4"/>
  <c r="W35" i="4"/>
  <c r="S27" i="4"/>
  <c r="T27" i="4"/>
  <c r="U27" i="4"/>
  <c r="V27" i="4"/>
  <c r="W27" i="4"/>
  <c r="S21" i="4"/>
  <c r="T21" i="4"/>
  <c r="U21" i="4"/>
  <c r="V21" i="4"/>
  <c r="W21" i="4"/>
  <c r="S36" i="4"/>
  <c r="T36" i="4"/>
  <c r="U36" i="4"/>
  <c r="V36" i="4"/>
  <c r="W36" i="4"/>
  <c r="S43" i="4"/>
  <c r="T43" i="4"/>
  <c r="U43" i="4"/>
  <c r="V43" i="4"/>
  <c r="W43" i="4"/>
  <c r="S11" i="4"/>
  <c r="T11" i="4"/>
  <c r="U11" i="4"/>
  <c r="V11" i="4"/>
  <c r="W11" i="4"/>
  <c r="S13" i="4"/>
  <c r="T13" i="4"/>
  <c r="U13" i="4"/>
  <c r="V13" i="4"/>
  <c r="W13" i="4"/>
  <c r="S28" i="4"/>
  <c r="T28" i="4"/>
  <c r="U28" i="4"/>
  <c r="V28" i="4"/>
  <c r="W28" i="4"/>
  <c r="S41" i="4"/>
  <c r="T41" i="4"/>
  <c r="U41" i="4"/>
  <c r="V41" i="4"/>
  <c r="W41" i="4"/>
  <c r="S33" i="4"/>
  <c r="T33" i="4"/>
  <c r="U33" i="4"/>
  <c r="V33" i="4"/>
  <c r="W33" i="4"/>
  <c r="S37" i="4"/>
  <c r="T37" i="4"/>
  <c r="U37" i="4"/>
  <c r="V37" i="4"/>
  <c r="W37" i="4"/>
  <c r="S26" i="4"/>
  <c r="T26" i="4"/>
  <c r="U26" i="4"/>
  <c r="V26" i="4"/>
  <c r="W26" i="4"/>
  <c r="S42" i="4"/>
  <c r="T42" i="4"/>
  <c r="U42" i="4"/>
  <c r="V42" i="4"/>
  <c r="W42" i="4"/>
  <c r="S12" i="4"/>
  <c r="T12" i="4"/>
  <c r="U12" i="4"/>
  <c r="V12" i="4"/>
  <c r="W12" i="4"/>
  <c r="S31" i="4"/>
  <c r="T31" i="4"/>
  <c r="U31" i="4"/>
  <c r="V31" i="4"/>
  <c r="W31" i="4"/>
  <c r="S44" i="4"/>
  <c r="T44" i="4"/>
  <c r="U44" i="4"/>
  <c r="V44" i="4"/>
  <c r="W44" i="4"/>
  <c r="S23" i="4"/>
  <c r="T23" i="4"/>
  <c r="U23" i="4"/>
  <c r="V23" i="4"/>
  <c r="W23" i="4"/>
  <c r="S34" i="4"/>
  <c r="T34" i="4"/>
  <c r="U34" i="4"/>
  <c r="V34" i="4"/>
  <c r="W34" i="4"/>
  <c r="S15" i="4"/>
  <c r="T15" i="4"/>
  <c r="U15" i="4"/>
  <c r="V15" i="4"/>
  <c r="W15" i="4"/>
  <c r="S14" i="4"/>
  <c r="T14" i="4"/>
  <c r="U14" i="4"/>
  <c r="V14" i="4"/>
  <c r="W14" i="4"/>
  <c r="S45" i="4"/>
  <c r="T45" i="4"/>
  <c r="U45" i="4"/>
  <c r="V45" i="4"/>
  <c r="W45" i="4"/>
  <c r="S16" i="4"/>
  <c r="T16" i="4"/>
  <c r="U16" i="4"/>
  <c r="V16" i="4"/>
  <c r="W16" i="4"/>
  <c r="S39" i="4"/>
  <c r="T39" i="4"/>
  <c r="U39" i="4"/>
  <c r="V39" i="4"/>
  <c r="W39" i="4"/>
  <c r="S22" i="4"/>
  <c r="T22" i="4"/>
  <c r="U22" i="4"/>
  <c r="V22" i="4"/>
  <c r="W22" i="4"/>
  <c r="S29" i="4"/>
  <c r="T29" i="4"/>
  <c r="U29" i="4"/>
  <c r="V29" i="4"/>
  <c r="W29" i="4"/>
  <c r="S20" i="4"/>
  <c r="T20" i="4"/>
  <c r="U20" i="4"/>
  <c r="V20" i="4"/>
  <c r="W20" i="4"/>
  <c r="S10" i="4"/>
  <c r="T10" i="4"/>
  <c r="U10" i="4"/>
  <c r="V10" i="4"/>
  <c r="W10" i="4"/>
  <c r="S32" i="4"/>
  <c r="T32" i="4"/>
  <c r="U32" i="4"/>
  <c r="V32" i="4"/>
  <c r="W32" i="4"/>
  <c r="S30" i="4"/>
  <c r="T30" i="4"/>
  <c r="U30" i="4"/>
  <c r="V30" i="4"/>
  <c r="W30" i="4"/>
  <c r="S47" i="4"/>
  <c r="T47" i="4"/>
  <c r="U47" i="4"/>
  <c r="V47" i="4"/>
  <c r="W47" i="4"/>
  <c r="R40" i="4"/>
  <c r="R17" i="4"/>
  <c r="R25" i="4"/>
  <c r="R38" i="4"/>
  <c r="R18" i="4"/>
  <c r="R19" i="4"/>
  <c r="R35" i="4"/>
  <c r="R27" i="4"/>
  <c r="R21" i="4"/>
  <c r="R36" i="4"/>
  <c r="R43" i="4"/>
  <c r="R11" i="4"/>
  <c r="R13" i="4"/>
  <c r="R28" i="4"/>
  <c r="R41" i="4"/>
  <c r="R33" i="4"/>
  <c r="R37" i="4"/>
  <c r="R26" i="4"/>
  <c r="R42" i="4"/>
  <c r="R12" i="4"/>
  <c r="R31" i="4"/>
  <c r="R44" i="4"/>
  <c r="R23" i="4"/>
  <c r="R34" i="4"/>
  <c r="R15" i="4"/>
  <c r="R14" i="4"/>
  <c r="R45" i="4"/>
  <c r="R16" i="4"/>
  <c r="R39" i="4"/>
  <c r="R22" i="4"/>
  <c r="R29" i="4"/>
  <c r="R20" i="4"/>
  <c r="R10" i="4"/>
  <c r="R32" i="4"/>
  <c r="R30" i="4"/>
  <c r="R47" i="4"/>
  <c r="R48" i="4"/>
  <c r="R49" i="4"/>
  <c r="R50" i="4"/>
  <c r="R24" i="4"/>
  <c r="Q45" i="4"/>
  <c r="Q24" i="4"/>
  <c r="Q40" i="4"/>
  <c r="Q17" i="4"/>
  <c r="Q25" i="4"/>
  <c r="Q38" i="4"/>
  <c r="Q18" i="4"/>
  <c r="Q19" i="4"/>
  <c r="Q35" i="4"/>
  <c r="Q27" i="4"/>
  <c r="Q21" i="4"/>
  <c r="Q36" i="4"/>
  <c r="Q43" i="4"/>
  <c r="Q11" i="4"/>
  <c r="Q13" i="4"/>
  <c r="Q28" i="4"/>
  <c r="Q41" i="4"/>
  <c r="Q33" i="4"/>
  <c r="Q37" i="4"/>
  <c r="Q26" i="4"/>
  <c r="Q42" i="4"/>
  <c r="Q12" i="4"/>
  <c r="Q31" i="4"/>
  <c r="Q44" i="4"/>
  <c r="Q23" i="4"/>
  <c r="Q34" i="4"/>
  <c r="Q15" i="4"/>
  <c r="Q14" i="4"/>
  <c r="Q16" i="4"/>
  <c r="Q39" i="4"/>
  <c r="Q22" i="4"/>
  <c r="Q29" i="4"/>
  <c r="Q20" i="4"/>
  <c r="Q10" i="4"/>
  <c r="Q32" i="4"/>
  <c r="Q30" i="4"/>
  <c r="Q47" i="4"/>
  <c r="Q48" i="4"/>
  <c r="Q49" i="4"/>
  <c r="Q50" i="4"/>
  <c r="V36" i="3"/>
  <c r="J9" i="3"/>
  <c r="Y30" i="3" s="1"/>
  <c r="J10" i="3"/>
  <c r="J8" i="3"/>
  <c r="E8" i="2"/>
  <c r="F71" i="2"/>
  <c r="J21" i="1"/>
  <c r="L21" i="1"/>
  <c r="H20" i="1"/>
  <c r="J20" i="1"/>
  <c r="J22" i="1" s="1"/>
  <c r="K20" i="1"/>
  <c r="K33" i="1" s="1"/>
  <c r="L24" i="3" s="1"/>
  <c r="L20" i="1"/>
  <c r="L22" i="1" s="1"/>
  <c r="M20" i="1"/>
  <c r="M33" i="1" s="1"/>
  <c r="L26" i="3" s="1"/>
  <c r="V26" i="3" s="1"/>
  <c r="N20" i="1"/>
  <c r="N33" i="1" s="1"/>
  <c r="L27" i="3" s="1"/>
  <c r="D25" i="4"/>
  <c r="F17" i="1" s="1"/>
  <c r="D44" i="4"/>
  <c r="F18" i="1" s="1"/>
  <c r="E44" i="4"/>
  <c r="G18" i="1" s="1"/>
  <c r="F44" i="4"/>
  <c r="H18" i="1" s="1"/>
  <c r="G44" i="4"/>
  <c r="I18" i="1" s="1"/>
  <c r="H25" i="4"/>
  <c r="J17" i="1" s="1"/>
  <c r="H44" i="4"/>
  <c r="J18" i="1" s="1"/>
  <c r="I25" i="4"/>
  <c r="K17" i="1" s="1"/>
  <c r="I44" i="4"/>
  <c r="K18" i="1" s="1"/>
  <c r="J25" i="4"/>
  <c r="L17" i="1" s="1"/>
  <c r="J44" i="4"/>
  <c r="L18" i="1" s="1"/>
  <c r="K25" i="4"/>
  <c r="M17" i="1" s="1"/>
  <c r="K44" i="4"/>
  <c r="M18" i="1" s="1"/>
  <c r="L25" i="4"/>
  <c r="N17" i="1" s="1"/>
  <c r="L44" i="4"/>
  <c r="N18" i="1" s="1"/>
  <c r="C44" i="4"/>
  <c r="E18" i="1" s="1"/>
  <c r="N24" i="5"/>
  <c r="D18" i="2" s="1"/>
  <c r="N25" i="5"/>
  <c r="P40" i="4" s="1"/>
  <c r="N26" i="5"/>
  <c r="P17" i="4" s="1"/>
  <c r="N27" i="5"/>
  <c r="D21" i="2" s="1"/>
  <c r="N28" i="5"/>
  <c r="P38" i="4" s="1"/>
  <c r="N29" i="5"/>
  <c r="O29" i="5" s="1"/>
  <c r="N30" i="5"/>
  <c r="P19" i="4" s="1"/>
  <c r="N31" i="5"/>
  <c r="O31" i="5" s="1"/>
  <c r="N32" i="5"/>
  <c r="P27" i="4" s="1"/>
  <c r="N33" i="5"/>
  <c r="P21" i="4" s="1"/>
  <c r="N34" i="5"/>
  <c r="O34" i="5" s="1"/>
  <c r="N35" i="5"/>
  <c r="D29" i="2" s="1"/>
  <c r="N36" i="5"/>
  <c r="P11" i="4" s="1"/>
  <c r="N37" i="5"/>
  <c r="P13" i="4" s="1"/>
  <c r="N38" i="5"/>
  <c r="P28" i="4" s="1"/>
  <c r="N39" i="5"/>
  <c r="P41" i="4" s="1"/>
  <c r="N40" i="5"/>
  <c r="P33" i="4" s="1"/>
  <c r="N41" i="5"/>
  <c r="O41" i="5" s="1"/>
  <c r="N42" i="5"/>
  <c r="P26" i="4" s="1"/>
  <c r="N43" i="5"/>
  <c r="D37" i="2" s="1"/>
  <c r="N44" i="5"/>
  <c r="P12" i="4" s="1"/>
  <c r="N45" i="5"/>
  <c r="P31" i="4" s="1"/>
  <c r="N46" i="5"/>
  <c r="D40" i="2" s="1"/>
  <c r="N47" i="5"/>
  <c r="P23" i="4" s="1"/>
  <c r="N48" i="5"/>
  <c r="O48" i="5" s="1"/>
  <c r="N49" i="5"/>
  <c r="P15" i="4" s="1"/>
  <c r="N50" i="5"/>
  <c r="P14" i="4" s="1"/>
  <c r="N51" i="5"/>
  <c r="O51" i="5" s="1"/>
  <c r="N52" i="5"/>
  <c r="P16" i="4" s="1"/>
  <c r="N53" i="5"/>
  <c r="P39" i="4" s="1"/>
  <c r="E4" i="2"/>
  <c r="E5" i="2"/>
  <c r="E6" i="2"/>
  <c r="E13" i="2"/>
  <c r="F72" i="2" s="1"/>
  <c r="N54" i="5"/>
  <c r="P22" i="4" s="1"/>
  <c r="N55" i="5"/>
  <c r="P29" i="4" s="1"/>
  <c r="N56" i="5"/>
  <c r="O56" i="5" s="1"/>
  <c r="N57" i="5"/>
  <c r="P10" i="4" s="1"/>
  <c r="N58" i="5"/>
  <c r="O58" i="5" s="1"/>
  <c r="N59" i="5"/>
  <c r="P30" i="4" s="1"/>
  <c r="N60" i="5"/>
  <c r="P47" i="4" s="1"/>
  <c r="P48" i="4"/>
  <c r="E56" i="2"/>
  <c r="F56" i="2" s="1"/>
  <c r="P49" i="4"/>
  <c r="P50" i="4"/>
  <c r="L29" i="4"/>
  <c r="K29" i="4"/>
  <c r="J29" i="4"/>
  <c r="I29" i="4"/>
  <c r="H29" i="4"/>
  <c r="G29" i="4"/>
  <c r="F29" i="4"/>
  <c r="E29" i="4"/>
  <c r="D29" i="4"/>
  <c r="C29" i="4"/>
  <c r="L9" i="4"/>
  <c r="K9" i="4"/>
  <c r="J9" i="4"/>
  <c r="I9" i="4"/>
  <c r="H9" i="4"/>
  <c r="G9" i="4"/>
  <c r="F9" i="4"/>
  <c r="E9" i="4"/>
  <c r="D9" i="4"/>
  <c r="C9" i="4"/>
  <c r="L4" i="4"/>
  <c r="K4" i="4"/>
  <c r="J4" i="4"/>
  <c r="I4" i="4"/>
  <c r="H4" i="4"/>
  <c r="G4" i="4"/>
  <c r="F4" i="4"/>
  <c r="E4" i="4"/>
  <c r="D4" i="4"/>
  <c r="C4" i="4"/>
  <c r="L5" i="4"/>
  <c r="N23" i="1" s="1"/>
  <c r="K5" i="4"/>
  <c r="M23" i="1" s="1"/>
  <c r="J5" i="4"/>
  <c r="L23" i="1" s="1"/>
  <c r="I5" i="4"/>
  <c r="K23" i="1" s="1"/>
  <c r="H5" i="4"/>
  <c r="J23" i="1" s="1"/>
  <c r="G5" i="4"/>
  <c r="I23" i="1" s="1"/>
  <c r="F5" i="4"/>
  <c r="E5" i="4"/>
  <c r="G23" i="1" s="1"/>
  <c r="D5" i="4"/>
  <c r="F23" i="1" s="1"/>
  <c r="C5" i="4"/>
  <c r="E23" i="1" s="1"/>
  <c r="F66" i="2"/>
  <c r="V30" i="3" s="1"/>
  <c r="C71" i="2"/>
  <c r="E11" i="2"/>
  <c r="E7" i="2"/>
  <c r="E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19" i="2"/>
  <c r="C18" i="2"/>
  <c r="D30" i="2"/>
  <c r="D50" i="2"/>
  <c r="D55" i="2"/>
  <c r="D56" i="2"/>
  <c r="D57" i="2"/>
  <c r="D36" i="3"/>
  <c r="J11" i="3"/>
  <c r="J7" i="3"/>
  <c r="J6" i="3"/>
  <c r="J5" i="3"/>
  <c r="J4" i="3"/>
  <c r="J3" i="3"/>
  <c r="E55" i="2"/>
  <c r="F55" i="2" s="1"/>
  <c r="D19" i="2"/>
  <c r="M22" i="1"/>
  <c r="K22" i="1"/>
  <c r="N22" i="1"/>
  <c r="L33" i="1"/>
  <c r="L25" i="3" s="1"/>
  <c r="O43" i="5"/>
  <c r="O47" i="5"/>
  <c r="O45" i="5"/>
  <c r="O33" i="5"/>
  <c r="D41" i="2"/>
  <c r="D27" i="2"/>
  <c r="H23" i="1"/>
  <c r="O44" i="5" l="1"/>
  <c r="O60" i="5"/>
  <c r="E54" i="2" s="1"/>
  <c r="F54" i="2" s="1"/>
  <c r="D54" i="2"/>
  <c r="D34" i="2"/>
  <c r="D28" i="2"/>
  <c r="H53" i="6"/>
  <c r="J75" i="7"/>
  <c r="D39" i="2"/>
  <c r="D35" i="2"/>
  <c r="D25" i="2"/>
  <c r="J33" i="1"/>
  <c r="L23" i="3" s="1"/>
  <c r="N23" i="3" s="1"/>
  <c r="J76" i="5"/>
  <c r="E52" i="2"/>
  <c r="F52" i="2" s="1"/>
  <c r="D43" i="6"/>
  <c r="H43" i="6" s="1"/>
  <c r="E28" i="2"/>
  <c r="F28" i="2" s="1"/>
  <c r="D19" i="6"/>
  <c r="H19" i="6" s="1"/>
  <c r="E41" i="2"/>
  <c r="F41" i="2" s="1"/>
  <c r="D32" i="6"/>
  <c r="H32" i="6" s="1"/>
  <c r="E39" i="2"/>
  <c r="F39" i="2" s="1"/>
  <c r="D30" i="6"/>
  <c r="H30" i="6" s="1"/>
  <c r="E27" i="2"/>
  <c r="F27" i="2" s="1"/>
  <c r="D18" i="6"/>
  <c r="H18" i="6" s="1"/>
  <c r="E38" i="2"/>
  <c r="D29" i="6"/>
  <c r="H29" i="6" s="1"/>
  <c r="E45" i="2"/>
  <c r="F45" i="2" s="1"/>
  <c r="D36" i="6"/>
  <c r="H36" i="6" s="1"/>
  <c r="E25" i="2"/>
  <c r="F25" i="2" s="1"/>
  <c r="D16" i="6"/>
  <c r="H16" i="6" s="1"/>
  <c r="E57" i="2"/>
  <c r="F57" i="2" s="1"/>
  <c r="H22" i="1"/>
  <c r="E37" i="2"/>
  <c r="F37" i="2" s="1"/>
  <c r="D28" i="6"/>
  <c r="H28" i="6" s="1"/>
  <c r="E50" i="2"/>
  <c r="F50" i="2" s="1"/>
  <c r="D41" i="6"/>
  <c r="E42" i="2"/>
  <c r="F42" i="2" s="1"/>
  <c r="D33" i="6"/>
  <c r="H33" i="6" s="1"/>
  <c r="E35" i="2"/>
  <c r="F35" i="2" s="1"/>
  <c r="D26" i="6"/>
  <c r="H26" i="6" s="1"/>
  <c r="E23" i="2"/>
  <c r="F23" i="2" s="1"/>
  <c r="D14" i="6"/>
  <c r="H14" i="6" s="1"/>
  <c r="E26" i="1"/>
  <c r="H33" i="1"/>
  <c r="L21" i="3" s="1"/>
  <c r="N21" i="3" s="1"/>
  <c r="I22" i="1"/>
  <c r="I33" i="1" s="1"/>
  <c r="L22" i="3" s="1"/>
  <c r="N22" i="3" s="1"/>
  <c r="E22" i="1"/>
  <c r="E33" i="1" s="1"/>
  <c r="L18" i="3" s="1"/>
  <c r="F22" i="1"/>
  <c r="F33" i="1" s="1"/>
  <c r="L19" i="3" s="1"/>
  <c r="V19" i="3" s="1"/>
  <c r="G22" i="1"/>
  <c r="G33" i="1" s="1"/>
  <c r="L20" i="3" s="1"/>
  <c r="N27" i="3"/>
  <c r="V27" i="3"/>
  <c r="V23" i="3"/>
  <c r="D38" i="2"/>
  <c r="D46" i="2"/>
  <c r="O52" i="5"/>
  <c r="O24" i="5"/>
  <c r="D20" i="2"/>
  <c r="P43" i="4"/>
  <c r="O42" i="5"/>
  <c r="O49" i="5"/>
  <c r="D43" i="2"/>
  <c r="O50" i="5"/>
  <c r="O59" i="5"/>
  <c r="O36" i="5"/>
  <c r="D53" i="2"/>
  <c r="O57" i="5"/>
  <c r="D51" i="2"/>
  <c r="D49" i="2"/>
  <c r="O55" i="5"/>
  <c r="O54" i="5"/>
  <c r="D47" i="2"/>
  <c r="O53" i="5"/>
  <c r="P45" i="4"/>
  <c r="D45" i="2"/>
  <c r="D42" i="2"/>
  <c r="P34" i="4"/>
  <c r="O46" i="5"/>
  <c r="P44" i="4"/>
  <c r="D36" i="2"/>
  <c r="O40" i="5"/>
  <c r="O38" i="5"/>
  <c r="P36" i="4"/>
  <c r="D26" i="2"/>
  <c r="O32" i="5"/>
  <c r="O30" i="5"/>
  <c r="D22" i="2"/>
  <c r="O28" i="5"/>
  <c r="O26" i="5"/>
  <c r="O25" i="5"/>
  <c r="P24" i="4"/>
  <c r="D23" i="2"/>
  <c r="D33" i="2"/>
  <c r="O27" i="5"/>
  <c r="P37" i="4"/>
  <c r="O39" i="5"/>
  <c r="O37" i="5"/>
  <c r="O35" i="5"/>
  <c r="P35" i="4"/>
  <c r="P18" i="4"/>
  <c r="P25" i="4"/>
  <c r="D31" i="2"/>
  <c r="D52" i="2"/>
  <c r="D48" i="2"/>
  <c r="D44" i="2"/>
  <c r="P32" i="4"/>
  <c r="P20" i="4"/>
  <c r="P42" i="4"/>
  <c r="D24" i="2"/>
  <c r="D32" i="2"/>
  <c r="D66" i="5"/>
  <c r="V24" i="3"/>
  <c r="N24" i="3"/>
  <c r="N25" i="3"/>
  <c r="V25" i="3"/>
  <c r="N26" i="3"/>
  <c r="J62" i="5" l="1"/>
  <c r="J63" i="5" s="1"/>
  <c r="F62" i="5"/>
  <c r="F63" i="5" s="1"/>
  <c r="K62" i="5"/>
  <c r="K63" i="5" s="1"/>
  <c r="G62" i="5"/>
  <c r="G63" i="5" s="1"/>
  <c r="L62" i="5"/>
  <c r="L63" i="5" s="1"/>
  <c r="H62" i="5"/>
  <c r="H63" i="5" s="1"/>
  <c r="D62" i="5"/>
  <c r="D63" i="5" s="1"/>
  <c r="M62" i="5"/>
  <c r="M63" i="5" s="1"/>
  <c r="I62" i="5"/>
  <c r="I63" i="5" s="1"/>
  <c r="E62" i="5"/>
  <c r="E63" i="5" s="1"/>
  <c r="V21" i="3"/>
  <c r="H54" i="6"/>
  <c r="J76" i="7"/>
  <c r="E31" i="2"/>
  <c r="F31" i="2" s="1"/>
  <c r="D22" i="6"/>
  <c r="H22" i="6" s="1"/>
  <c r="E33" i="2"/>
  <c r="F33" i="2" s="1"/>
  <c r="D24" i="6"/>
  <c r="H24" i="6" s="1"/>
  <c r="E22" i="2"/>
  <c r="F22" i="2" s="1"/>
  <c r="D13" i="6"/>
  <c r="H13" i="6" s="1"/>
  <c r="E26" i="2"/>
  <c r="F26" i="2" s="1"/>
  <c r="D17" i="6"/>
  <c r="H17" i="6" s="1"/>
  <c r="E34" i="2"/>
  <c r="F34" i="2" s="1"/>
  <c r="D25" i="6"/>
  <c r="H25" i="6" s="1"/>
  <c r="E47" i="2"/>
  <c r="F47" i="2" s="1"/>
  <c r="D38" i="6"/>
  <c r="H38" i="6" s="1"/>
  <c r="E30" i="2"/>
  <c r="F30" i="2" s="1"/>
  <c r="D21" i="6"/>
  <c r="H21" i="6" s="1"/>
  <c r="E43" i="2"/>
  <c r="F43" i="2" s="1"/>
  <c r="D34" i="6"/>
  <c r="H34" i="6" s="1"/>
  <c r="E18" i="2"/>
  <c r="F18" i="2" s="1"/>
  <c r="D9" i="6"/>
  <c r="H9" i="6" s="1"/>
  <c r="E21" i="2"/>
  <c r="F21" i="2" s="1"/>
  <c r="D12" i="6"/>
  <c r="H12" i="6" s="1"/>
  <c r="E20" i="2"/>
  <c r="F20" i="2" s="1"/>
  <c r="D11" i="6"/>
  <c r="H11" i="6" s="1"/>
  <c r="E32" i="2"/>
  <c r="F32" i="2" s="1"/>
  <c r="D23" i="6"/>
  <c r="H23" i="6" s="1"/>
  <c r="E29" i="2"/>
  <c r="F29" i="2" s="1"/>
  <c r="D20" i="6"/>
  <c r="H20" i="6" s="1"/>
  <c r="E48" i="2"/>
  <c r="F48" i="2" s="1"/>
  <c r="D39" i="6"/>
  <c r="E51" i="2"/>
  <c r="F51" i="2" s="1"/>
  <c r="D42" i="6"/>
  <c r="H42" i="6" s="1"/>
  <c r="E44" i="2"/>
  <c r="F44" i="2" s="1"/>
  <c r="D35" i="6"/>
  <c r="H35" i="6" s="1"/>
  <c r="H41" i="6"/>
  <c r="E24" i="2"/>
  <c r="F24" i="2" s="1"/>
  <c r="D15" i="6"/>
  <c r="H15" i="6" s="1"/>
  <c r="E40" i="2"/>
  <c r="F40" i="2" s="1"/>
  <c r="D31" i="6"/>
  <c r="H31" i="6" s="1"/>
  <c r="E49" i="2"/>
  <c r="F49" i="2" s="1"/>
  <c r="D40" i="6"/>
  <c r="E19" i="2"/>
  <c r="F19" i="2" s="1"/>
  <c r="D10" i="6"/>
  <c r="H10" i="6" s="1"/>
  <c r="E53" i="2"/>
  <c r="F53" i="2" s="1"/>
  <c r="D44" i="6"/>
  <c r="H44" i="6" s="1"/>
  <c r="E36" i="2"/>
  <c r="F36" i="2" s="1"/>
  <c r="D27" i="6"/>
  <c r="H27" i="6" s="1"/>
  <c r="E46" i="2"/>
  <c r="F46" i="2" s="1"/>
  <c r="D37" i="6"/>
  <c r="H37" i="6" s="1"/>
  <c r="H6" i="4"/>
  <c r="D6" i="6"/>
  <c r="N19" i="3"/>
  <c r="N20" i="3"/>
  <c r="V20" i="3"/>
  <c r="V18" i="3"/>
  <c r="N18" i="3"/>
  <c r="V22" i="3"/>
  <c r="P51" i="4"/>
  <c r="P52" i="4"/>
  <c r="P53" i="4"/>
  <c r="E25" i="1" s="1"/>
  <c r="K6" i="4"/>
  <c r="L6" i="4"/>
  <c r="F6" i="4"/>
  <c r="T5" i="4"/>
  <c r="C6" i="4"/>
  <c r="J6" i="4"/>
  <c r="E6" i="4"/>
  <c r="G6" i="4"/>
  <c r="D6" i="4"/>
  <c r="I6" i="4"/>
  <c r="M64" i="5" l="1"/>
  <c r="AB48" i="4"/>
  <c r="I64" i="5"/>
  <c r="X48" i="4"/>
  <c r="L64" i="5"/>
  <c r="AA48" i="4"/>
  <c r="J64" i="5"/>
  <c r="Y48" i="4"/>
  <c r="E64" i="5"/>
  <c r="T48" i="4"/>
  <c r="H64" i="5"/>
  <c r="W48" i="4"/>
  <c r="F64" i="5"/>
  <c r="U48" i="4"/>
  <c r="D64" i="5"/>
  <c r="S48" i="4"/>
  <c r="K64" i="5"/>
  <c r="Z48" i="4"/>
  <c r="G64" i="5"/>
  <c r="V48" i="4"/>
  <c r="J61" i="2"/>
  <c r="E60" i="2"/>
  <c r="J60" i="2"/>
  <c r="E63" i="2"/>
  <c r="H40" i="6"/>
  <c r="H39" i="6"/>
  <c r="E62" i="2"/>
  <c r="E61" i="2" l="1"/>
  <c r="J64" i="2" s="1"/>
  <c r="K65" i="5"/>
  <c r="Z50" i="4" s="1"/>
  <c r="Z49" i="4"/>
  <c r="F65" i="5"/>
  <c r="U50" i="4" s="1"/>
  <c r="U49" i="4"/>
  <c r="E65" i="5"/>
  <c r="T50" i="4" s="1"/>
  <c r="T49" i="4"/>
  <c r="L65" i="5"/>
  <c r="AA50" i="4" s="1"/>
  <c r="AA49" i="4"/>
  <c r="M65" i="5"/>
  <c r="AB50" i="4" s="1"/>
  <c r="AB49" i="4"/>
  <c r="AA53" i="4"/>
  <c r="M24" i="1" s="1"/>
  <c r="AA52" i="4"/>
  <c r="M19" i="1" s="1"/>
  <c r="M31" i="1" s="1"/>
  <c r="B26" i="3" s="1"/>
  <c r="D26" i="3" s="1"/>
  <c r="AA51" i="4"/>
  <c r="M16" i="1" s="1"/>
  <c r="AB53" i="4"/>
  <c r="N24" i="1" s="1"/>
  <c r="AB51" i="4"/>
  <c r="N16" i="1" s="1"/>
  <c r="AB52" i="4"/>
  <c r="N19" i="1" s="1"/>
  <c r="N31" i="1" s="1"/>
  <c r="B27" i="3" s="1"/>
  <c r="D27" i="3" s="1"/>
  <c r="G65" i="5"/>
  <c r="V50" i="4" s="1"/>
  <c r="V49" i="4"/>
  <c r="S50" i="4"/>
  <c r="S49" i="4"/>
  <c r="H65" i="5"/>
  <c r="W50" i="4" s="1"/>
  <c r="W49" i="4"/>
  <c r="J65" i="5"/>
  <c r="Y50" i="4" s="1"/>
  <c r="Y49" i="4"/>
  <c r="I65" i="5"/>
  <c r="X50" i="4" s="1"/>
  <c r="X49" i="4"/>
  <c r="J62" i="2"/>
  <c r="J63" i="2"/>
  <c r="Z52" i="4" l="1"/>
  <c r="L19" i="1" s="1"/>
  <c r="L31" i="1" s="1"/>
  <c r="B25" i="3" s="1"/>
  <c r="D25" i="3" s="1"/>
  <c r="X52" i="4"/>
  <c r="J19" i="1" s="1"/>
  <c r="J31" i="1" s="1"/>
  <c r="B23" i="3" s="1"/>
  <c r="D23" i="3" s="1"/>
  <c r="U53" i="4"/>
  <c r="G24" i="1" s="1"/>
  <c r="Z53" i="4"/>
  <c r="L24" i="1" s="1"/>
  <c r="Z51" i="4"/>
  <c r="L16" i="1" s="1"/>
  <c r="Y53" i="4"/>
  <c r="K24" i="1" s="1"/>
  <c r="X53" i="4"/>
  <c r="J24" i="1" s="1"/>
  <c r="Y51" i="4"/>
  <c r="K16" i="1" s="1"/>
  <c r="S52" i="4"/>
  <c r="E19" i="1" s="1"/>
  <c r="B18" i="3" s="1"/>
  <c r="D18" i="3" s="1"/>
  <c r="X51" i="4"/>
  <c r="J16" i="1" s="1"/>
  <c r="Y52" i="4"/>
  <c r="K19" i="1" s="1"/>
  <c r="K31" i="1" s="1"/>
  <c r="B24" i="3" s="1"/>
  <c r="D24" i="3" s="1"/>
  <c r="T51" i="4"/>
  <c r="F16" i="1" s="1"/>
  <c r="S53" i="4"/>
  <c r="E24" i="1" s="1"/>
  <c r="W53" i="4"/>
  <c r="I24" i="1" s="1"/>
  <c r="V51" i="4"/>
  <c r="H16" i="1" s="1"/>
  <c r="T52" i="4"/>
  <c r="F19" i="1" s="1"/>
  <c r="F31" i="1" s="1"/>
  <c r="B19" i="3" s="1"/>
  <c r="D19" i="3" s="1"/>
  <c r="S51" i="4"/>
  <c r="E16" i="1" s="1"/>
  <c r="T53" i="4"/>
  <c r="F24" i="1" s="1"/>
  <c r="W51" i="4"/>
  <c r="I16" i="1" s="1"/>
  <c r="U51" i="4"/>
  <c r="G16" i="1" s="1"/>
  <c r="V53" i="4"/>
  <c r="H24" i="1" s="1"/>
  <c r="W52" i="4"/>
  <c r="I19" i="1" s="1"/>
  <c r="I31" i="1" s="1"/>
  <c r="B22" i="3" s="1"/>
  <c r="D22" i="3" s="1"/>
  <c r="V52" i="4"/>
  <c r="H19" i="1" s="1"/>
  <c r="H31" i="1" s="1"/>
  <c r="B21" i="3" s="1"/>
  <c r="D21" i="3" s="1"/>
  <c r="U52" i="4"/>
  <c r="G19" i="1" s="1"/>
  <c r="G31" i="1" s="1"/>
  <c r="B20" i="3" s="1"/>
  <c r="D20" i="3" s="1"/>
  <c r="E35" i="1" l="1"/>
  <c r="E14" i="3" s="1"/>
  <c r="H1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fnh</author>
  </authors>
  <commentList>
    <comment ref="N19" authorId="0" shapeId="0" xr:uid="{00000000-0006-0000-0000-000001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Isi sel ini akan dihitung secara otomatis, jangan mengisi apa pun di sel ini.</t>
        </r>
      </text>
    </comment>
    <comment ref="O19" authorId="0" shapeId="0" xr:uid="{00000000-0006-0000-0000-000002000000}">
      <text>
        <r>
          <rPr>
            <b/>
            <sz val="8"/>
            <color indexed="12"/>
            <rFont val="Tahoma"/>
            <family val="2"/>
          </rPr>
          <t>Informasi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0"/>
            <rFont val="Tahoma"/>
            <family val="2"/>
          </rPr>
          <t xml:space="preserve">Isi sel ini dapat dirubah sesuai dengan kebutuhan Anda </t>
        </r>
      </text>
    </comment>
    <comment ref="N21" authorId="0" shapeId="0" xr:uid="{00000000-0006-0000-0000-000003000000}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  <comment ref="O21" authorId="0" shapeId="0" xr:uid="{00000000-0006-0000-0000-000004000000}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  <comment ref="D66" authorId="1" shapeId="0" xr:uid="{00000000-0006-0000-0000-000005000000}">
      <text>
        <r>
          <rPr>
            <b/>
            <sz val="11"/>
            <color indexed="12"/>
            <rFont val="Tahoma"/>
            <family val="2"/>
          </rPr>
          <t>Perhatian !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Sel ini akan dihitung secara otomatis, jangan mengisi apa pun di sel 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DEDI BASTADI</author>
    <author>fnh</author>
  </authors>
  <commentList>
    <comment ref="A4" authorId="0" shapeId="0" xr:uid="{00000000-0006-0000-0100-000001000000}">
      <text>
        <r>
          <rPr>
            <b/>
            <sz val="12"/>
            <color indexed="10"/>
            <rFont val="Tahoma"/>
            <family val="2"/>
          </rPr>
          <t>Perhatian !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1"/>
            <color indexed="81"/>
            <rFont val="Tahoma"/>
            <family val="2"/>
          </rPr>
          <t>Jangan melakukan perubahan apapun pada sel berwarna coklat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24" authorId="1" shapeId="0" xr:uid="{00000000-0006-0000-0100-000002000000}">
      <text>
        <r>
          <rPr>
            <b/>
            <sz val="12"/>
            <color indexed="81"/>
            <rFont val="Times New Roman"/>
            <family val="1"/>
          </rPr>
          <t>Perhatian!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0"/>
            <color indexed="81"/>
            <rFont val="Times New Roman"/>
            <family val="1"/>
          </rPr>
          <t xml:space="preserve">Data berwarna biru muda secara otomatis diisi  dari data 1. Jangan sekali-kali mengubah isinya. Tugas anda adalah mengurutkan data yang berwarna biru muda ini berdasarkan jumlah  skor dengan urutan dari besar ke kecil. </t>
        </r>
      </text>
    </comment>
    <comment ref="Q24" authorId="1" shapeId="0" xr:uid="{00000000-0006-0000-0100-000003000000}">
      <text>
        <r>
          <rPr>
            <b/>
            <sz val="12"/>
            <color indexed="81"/>
            <rFont val="Times New Roman"/>
            <family val="1"/>
          </rPr>
          <t>Perhatian!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imes New Roman"/>
            <family val="1"/>
          </rPr>
          <t xml:space="preserve">Data berwarna biru muda secara otomatis diisi  dari "data1". Jangan sekali-kali mengubah isinya. Tugas anda adalah mengurutkan data yang berwarna biru muda ini berdasarkan skor dengan urutan dari kecil ke besar. </t>
        </r>
        <r>
          <rPr>
            <sz val="10"/>
            <color indexed="81"/>
            <rFont val="Times New Roman"/>
            <family val="1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C15" authorId="0" shapeId="0" xr:uid="{00000000-0006-0000-0300-000001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Kolom ini akan diisi secara otomatis</t>
        </r>
      </text>
    </comment>
    <comment ref="D15" authorId="0" shapeId="0" xr:uid="{00000000-0006-0000-0300-000002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Kolom ini akan diisi secara otomatis.</t>
        </r>
      </text>
    </comment>
    <comment ref="E15" authorId="0" shapeId="0" xr:uid="{00000000-0006-0000-0300-000003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diisi secara otomatis</t>
        </r>
      </text>
    </comment>
    <comment ref="F15" authorId="0" shapeId="0" xr:uid="{00000000-0006-0000-0300-000004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Kolom ini akan diisi secara otomatis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DEDI BASTADI</author>
  </authors>
  <commentList>
    <comment ref="A2" authorId="0" shapeId="0" xr:uid="{00000000-0006-0000-0400-000001000000}">
      <text>
        <r>
          <rPr>
            <b/>
            <sz val="16"/>
            <color indexed="10"/>
            <rFont val="Tahoma"/>
            <family val="2"/>
          </rPr>
          <t>Data Pada Lembar Ini Bersumber dari Data 2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12"/>
            <color indexed="12"/>
            <rFont val="Tahoma"/>
            <family val="2"/>
          </rPr>
          <t>Jangan Melakukan Perubahan atau Memasukan Data Pada Lembar Ini,
Lembar Ini Akan Terisi Secara Otomatis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B16" authorId="0" shapeId="0" xr:uid="{00000000-0006-0000-0400-000002000000}">
      <text>
        <r>
          <rPr>
            <b/>
            <sz val="12"/>
            <color indexed="12"/>
            <rFont val="Tahoma"/>
            <family val="2"/>
          </rPr>
          <t>JANGAN MEMASUKAN DATA ATAU MELAKUKAN PERUBAHAN PADA LEMBAR INI, LEMBAR INI AKAN TERISI SECARA OTOMATIS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fnh</author>
  </authors>
  <commentList>
    <comment ref="N19" authorId="0" shapeId="0" xr:uid="{00000000-0006-0000-0600-000001000000}">
      <text>
        <r>
          <rPr>
            <b/>
            <sz val="8"/>
            <color indexed="10"/>
            <rFont val="Tahoma"/>
            <family val="2"/>
          </rPr>
          <t>Perhatian !</t>
        </r>
        <r>
          <rPr>
            <sz val="8"/>
            <color indexed="12"/>
            <rFont val="Tahoma"/>
            <family val="2"/>
          </rPr>
          <t xml:space="preserve">
Isi sel ini akan dihitung secara otomatis, jangan mengisi apa pun di sel ini.</t>
        </r>
      </text>
    </comment>
    <comment ref="O19" authorId="0" shapeId="0" xr:uid="{00000000-0006-0000-0600-000002000000}">
      <text>
        <r>
          <rPr>
            <b/>
            <sz val="8"/>
            <color indexed="12"/>
            <rFont val="Tahoma"/>
            <family val="2"/>
          </rPr>
          <t>Informasi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0"/>
            <rFont val="Tahoma"/>
            <family val="2"/>
          </rPr>
          <t xml:space="preserve">Isi sel ini dapat dirubah sesuai dengan kebutuhan Anda </t>
        </r>
      </text>
    </comment>
    <comment ref="N21" authorId="0" shapeId="0" xr:uid="{00000000-0006-0000-0600-000003000000}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  <comment ref="O21" authorId="0" shapeId="0" xr:uid="{00000000-0006-0000-0600-000004000000}">
      <text>
        <r>
          <rPr>
            <b/>
            <sz val="10"/>
            <color indexed="10"/>
            <rFont val="Tahoma"/>
            <family val="2"/>
          </rPr>
          <t>Perhatian !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12"/>
            <rFont val="Tahoma"/>
            <family val="2"/>
          </rPr>
          <t>Kolom ini akan dihitung secara otomatis, jangan mengisi apa pun di kolom ini</t>
        </r>
      </text>
    </comment>
    <comment ref="D66" authorId="1" shapeId="0" xr:uid="{00000000-0006-0000-0600-000005000000}">
      <text>
        <r>
          <rPr>
            <b/>
            <sz val="11"/>
            <color indexed="12"/>
            <rFont val="Tahoma"/>
            <family val="2"/>
          </rPr>
          <t>Perhatian !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10"/>
            <rFont val="Tahoma"/>
            <family val="2"/>
          </rPr>
          <t>Sel ini akan dihitung secara otomatis, jangan mengisi apa pun di sel ini</t>
        </r>
      </text>
    </comment>
  </commentList>
</comments>
</file>

<file path=xl/sharedStrings.xml><?xml version="1.0" encoding="utf-8"?>
<sst xmlns="http://schemas.openxmlformats.org/spreadsheetml/2006/main" count="590" uniqueCount="307">
  <si>
    <t>No</t>
  </si>
  <si>
    <t>Nama Siswa</t>
  </si>
  <si>
    <t>NOMOR SOAL</t>
  </si>
  <si>
    <t>SKOR MAKSIMUM</t>
  </si>
  <si>
    <t>JUMLAH PESERTA TES</t>
  </si>
  <si>
    <t>SISWA KELOMPOK ATAS</t>
  </si>
  <si>
    <t>SISWA KELOMPOK BAWAH</t>
  </si>
  <si>
    <t>Nomor Soal</t>
  </si>
  <si>
    <t>Jumlah</t>
  </si>
  <si>
    <t>Skala</t>
  </si>
  <si>
    <t>Nilai</t>
  </si>
  <si>
    <t>Ujian</t>
  </si>
  <si>
    <t>DATA UMUM</t>
  </si>
  <si>
    <t>:</t>
  </si>
  <si>
    <t>NOMOR SK/KD</t>
  </si>
  <si>
    <t>NAMA SEKOLAH</t>
  </si>
  <si>
    <t>MATA PELAJARAN</t>
  </si>
  <si>
    <t>NAMA TES</t>
  </si>
  <si>
    <t>NAMA PENGAJAR</t>
  </si>
  <si>
    <t xml:space="preserve">Jumlah </t>
  </si>
  <si>
    <t>Rata-rata</t>
  </si>
  <si>
    <t>Nilai Tertinggi</t>
  </si>
  <si>
    <t>Nilai Terendah</t>
  </si>
  <si>
    <t>Simpangan Baku</t>
  </si>
  <si>
    <t>Guru Mata Pelajaran</t>
  </si>
  <si>
    <t>ORANG</t>
  </si>
  <si>
    <t xml:space="preserve">Nomor </t>
  </si>
  <si>
    <t>Soal</t>
  </si>
  <si>
    <t>Daya Beda</t>
  </si>
  <si>
    <t>Tafsiran</t>
  </si>
  <si>
    <t>Tingkat Kesukaran</t>
  </si>
  <si>
    <t>Status Soal</t>
  </si>
  <si>
    <t>ANALISIS BUTIR SOAL URAIAN</t>
  </si>
  <si>
    <t>Mengetahui,</t>
  </si>
  <si>
    <t>Kepala Sekolah</t>
  </si>
  <si>
    <t>Tingkat Kesukaran (P)</t>
  </si>
  <si>
    <t>Daya Beda (D)</t>
  </si>
  <si>
    <t>Keterangan Ketuntasan Belajar</t>
  </si>
  <si>
    <t>Jumlah Peserta Ujian</t>
  </si>
  <si>
    <t>Jumlah Yang Tuntas</t>
  </si>
  <si>
    <t>Jumlah Yang Belum Tuntas</t>
  </si>
  <si>
    <t>Orang</t>
  </si>
  <si>
    <t>Di Bawah Rata-rata</t>
  </si>
  <si>
    <t>Di Atas Rata-rata</t>
  </si>
  <si>
    <t>Indeks</t>
  </si>
  <si>
    <t>DATA UNTUK ANALISIS BUTIR SOAL</t>
  </si>
  <si>
    <t>REKAPITULASI</t>
  </si>
  <si>
    <t>Jumlah Skor</t>
  </si>
  <si>
    <t>Mean</t>
  </si>
  <si>
    <t>SKOR</t>
  </si>
  <si>
    <t>Skor maksimum</t>
  </si>
  <si>
    <t>PEDOMAN PENYEKORAN</t>
  </si>
  <si>
    <t>MATERI POKOK</t>
  </si>
  <si>
    <t>NIP</t>
  </si>
  <si>
    <t>Skor Yang Dicapai Siswa</t>
  </si>
  <si>
    <t>Skor</t>
  </si>
  <si>
    <t>skor</t>
  </si>
  <si>
    <t>Jumlah skor</t>
  </si>
  <si>
    <t>Rangking</t>
  </si>
  <si>
    <t>Jumlah Skor Seluruh Siswa</t>
  </si>
  <si>
    <t>Rata-rata Skor Seluruh Siswa</t>
  </si>
  <si>
    <t>Rata-rata Skor Kelompok Bawah (Y)</t>
  </si>
  <si>
    <t>Rata-rata Skor Kelompok Atas (X)</t>
  </si>
  <si>
    <t>Jumlah Skor Kelompok Bawah</t>
  </si>
  <si>
    <t>X-Y</t>
  </si>
  <si>
    <t>Variansi</t>
  </si>
  <si>
    <t xml:space="preserve">Reliabilitas </t>
  </si>
  <si>
    <r>
      <t>Variansi Total (S</t>
    </r>
    <r>
      <rPr>
        <vertAlign val="subscript"/>
        <sz val="10"/>
        <rFont val="Arial"/>
        <family val="2"/>
      </rPr>
      <t>t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</si>
  <si>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r>
      <t>Variansi (S</t>
    </r>
    <r>
      <rPr>
        <vertAlign val="subscript"/>
        <sz val="10"/>
        <rFont val="Arial"/>
        <family val="2"/>
      </rPr>
      <t>i</t>
    </r>
    <r>
      <rPr>
        <vertAlign val="superscript"/>
        <sz val="10"/>
        <rFont val="Arial"/>
        <family val="2"/>
      </rPr>
      <t>2</t>
    </r>
    <r>
      <rPr>
        <sz val="10"/>
        <rFont val="Arial"/>
        <family val="2"/>
      </rPr>
      <t>)</t>
    </r>
  </si>
  <si>
    <t>Skor Max Tiap Butir Soal</t>
  </si>
  <si>
    <t>Jumlah Skor Kelompok Atas</t>
  </si>
  <si>
    <t>KELAS/SEMESTER/TAHUN</t>
  </si>
  <si>
    <t>TANGGAL TES</t>
  </si>
  <si>
    <t>HASIL NILAI TES</t>
  </si>
  <si>
    <t>HASIL ANALISIS BUTIR SOAL URAIAN</t>
  </si>
  <si>
    <t>KELAS / SEMESTER / TAHUN</t>
  </si>
  <si>
    <t>=</t>
  </si>
  <si>
    <t>Jumlah sampel minimal untuk penentuan kelompok</t>
  </si>
  <si>
    <t>Banyaknya Soal</t>
  </si>
  <si>
    <t xml:space="preserve"> </t>
  </si>
  <si>
    <t>Reliabilitas Tes</t>
  </si>
  <si>
    <t>-</t>
  </si>
  <si>
    <t>Soal Mudah</t>
  </si>
  <si>
    <t>Soal Sedang</t>
  </si>
  <si>
    <t>Soal Sulit</t>
  </si>
  <si>
    <t>Klasifikasi Daya Beda:</t>
  </si>
  <si>
    <t>Daya Beda Baik</t>
  </si>
  <si>
    <t>Status Soal:</t>
  </si>
  <si>
    <t>&lt;</t>
  </si>
  <si>
    <t>Soal Diperbaiki</t>
  </si>
  <si>
    <t>Soal Diterima tapi Diperbaiki</t>
  </si>
  <si>
    <t>Interpretasi Koefisien Reliabilitas:</t>
  </si>
  <si>
    <t>Belum memiliki reliabilitas yang tinggi</t>
  </si>
  <si>
    <t>Memiliki reliabilitas yang tinggi</t>
  </si>
  <si>
    <t>Klasifikasi Tingkat kesukaran:</t>
  </si>
  <si>
    <t>0,4</t>
  </si>
  <si>
    <t>Daya Beda Jelek</t>
  </si>
  <si>
    <t>Daya Beda Kurang Baik</t>
  </si>
  <si>
    <t>Daya Beda Cukup Baik</t>
  </si>
  <si>
    <t>Soal Dibuang</t>
  </si>
  <si>
    <t>Soal Diterima Baik</t>
  </si>
  <si>
    <t>KKM</t>
  </si>
  <si>
    <t>SMA NEGERI 6 KENDARI</t>
  </si>
  <si>
    <t>3.1 DAN 3.2</t>
  </si>
  <si>
    <t xml:space="preserve"> I D H A M, S.Pd., M.Hum</t>
  </si>
  <si>
    <r>
      <t xml:space="preserve">NIP : </t>
    </r>
    <r>
      <rPr>
        <sz val="10"/>
        <rFont val="Candara"/>
        <family val="2"/>
      </rPr>
      <t>196510151990031021</t>
    </r>
  </si>
  <si>
    <t>AHMAD LINDA</t>
  </si>
  <si>
    <t>ALYA DWI ANGGRAENI</t>
  </si>
  <si>
    <t>ANDARISTA FEBRIANTI</t>
  </si>
  <si>
    <t>ANDI NUR SITTI FATIMAH</t>
  </si>
  <si>
    <t>ANGGIE MUSDALIFAH</t>
  </si>
  <si>
    <t>ARNINDA ANAWAI</t>
  </si>
  <si>
    <t>CINTYA MEILIA</t>
  </si>
  <si>
    <t>I NYOMAN YOGI</t>
  </si>
  <si>
    <t>ILHAM HALIDIN</t>
  </si>
  <si>
    <t>LA ODE FIRMANSYAH</t>
  </si>
  <si>
    <t>MILA AMALIA</t>
  </si>
  <si>
    <t>MUH.HABIB ALFAYET</t>
  </si>
  <si>
    <t>MUHAMMAD AKBAR</t>
  </si>
  <si>
    <t xml:space="preserve">NUR ASBIA </t>
  </si>
  <si>
    <t xml:space="preserve">RIO OKTOVRIAN </t>
  </si>
  <si>
    <t>RIZKA WAHYU LESTARI</t>
  </si>
  <si>
    <t>SELFIANTI</t>
  </si>
  <si>
    <t>SUCI DESIANI</t>
  </si>
  <si>
    <t xml:space="preserve">SULASTRI ANISA </t>
  </si>
  <si>
    <t>TRI ASTUTI RAMADAN</t>
  </si>
  <si>
    <t>NAMA GURU</t>
  </si>
  <si>
    <t>Abdul Samad, S.Pd., M.Pd</t>
  </si>
  <si>
    <t>19720802 199702 1 001</t>
  </si>
  <si>
    <t>NAMA</t>
  </si>
  <si>
    <t>Mata Pelajaran</t>
  </si>
  <si>
    <t>Jumlah Peserta</t>
  </si>
  <si>
    <t>Pokok Bahasan</t>
  </si>
  <si>
    <t>: 5</t>
  </si>
  <si>
    <t>Kelas/Semester</t>
  </si>
  <si>
    <t>Mengetahui</t>
  </si>
  <si>
    <t>Kendari,</t>
  </si>
  <si>
    <t>September  2016</t>
  </si>
  <si>
    <t>Kepala SMA Negeri 6 Kendari</t>
  </si>
  <si>
    <t>Guru Mata Pelajaran sejarah wajib</t>
  </si>
  <si>
    <t xml:space="preserve">Abd.Rahman M.S.PdI,M.Si </t>
  </si>
  <si>
    <t>Sitawati, S.Pd</t>
  </si>
  <si>
    <t>NIP. 19620530198703101</t>
  </si>
  <si>
    <t>NIP. 197901102002 12 2013</t>
  </si>
  <si>
    <t>No
kode</t>
  </si>
  <si>
    <t>Perbaikan ke-</t>
  </si>
  <si>
    <t>Nilai 
Akhir</t>
  </si>
  <si>
    <t>Tanda Tangan</t>
  </si>
  <si>
    <t>7a2</t>
  </si>
  <si>
    <t>7a3</t>
  </si>
  <si>
    <t>7a4</t>
  </si>
  <si>
    <t>7a5</t>
  </si>
  <si>
    <t>7a6</t>
  </si>
  <si>
    <t>7a7</t>
  </si>
  <si>
    <t>7a8</t>
  </si>
  <si>
    <t>7a9</t>
  </si>
  <si>
    <t>7a10</t>
  </si>
  <si>
    <t>7a11</t>
  </si>
  <si>
    <t>7a12</t>
  </si>
  <si>
    <t>7a13</t>
  </si>
  <si>
    <t>7a14</t>
  </si>
  <si>
    <t>7a15</t>
  </si>
  <si>
    <t>7a16</t>
  </si>
  <si>
    <t>7a17</t>
  </si>
  <si>
    <t>7a18</t>
  </si>
  <si>
    <t>7a19</t>
  </si>
  <si>
    <t>7a20</t>
  </si>
  <si>
    <t>7a21</t>
  </si>
  <si>
    <t>7a22</t>
  </si>
  <si>
    <t>7a23</t>
  </si>
  <si>
    <t>7a24</t>
  </si>
  <si>
    <t>7a25</t>
  </si>
  <si>
    <t>7a26</t>
  </si>
  <si>
    <t>7a27</t>
  </si>
  <si>
    <t>7a28</t>
  </si>
  <si>
    <t>7a29</t>
  </si>
  <si>
    <t>7a30</t>
  </si>
  <si>
    <t>7a31</t>
  </si>
  <si>
    <t>HASIL ANALISIS ULANGAN HARIAN</t>
  </si>
  <si>
    <t>1.      Ketuntasan belajar</t>
  </si>
  <si>
    <t>a.       Perorangan</t>
  </si>
  <si>
    <t>(1)      Jumlah peserta</t>
  </si>
  <si>
    <t>: 32</t>
  </si>
  <si>
    <t>siswa</t>
  </si>
  <si>
    <t>(2)      Jumlah peserta yang telah tuntas</t>
  </si>
  <si>
    <t>: 29</t>
  </si>
  <si>
    <t>Ø      Jumlah peserta yang belum tuntas</t>
  </si>
  <si>
    <t>: 3</t>
  </si>
  <si>
    <t xml:space="preserve">Untuk soal nomor : </t>
  </si>
  <si>
    <t>1.</t>
  </si>
  <si>
    <t>Siswa</t>
  </si>
  <si>
    <t>2.</t>
  </si>
  <si>
    <t>3.</t>
  </si>
  <si>
    <t>4.</t>
  </si>
  <si>
    <t>5.</t>
  </si>
  <si>
    <t>(3)      Jumlah peserta yang belum tuntas</t>
  </si>
  <si>
    <t>b.      Klasikal</t>
  </si>
  <si>
    <t>(1)      Jumlah soal</t>
  </si>
  <si>
    <t>butir</t>
  </si>
  <si>
    <t>(2)      Jumlah soal yang telah tuntas</t>
  </si>
  <si>
    <t>(3)      Jumlah soal yang belum tuntas</t>
  </si>
  <si>
    <t>: -</t>
  </si>
  <si>
    <t>2.      Kesimpulan</t>
  </si>
  <si>
    <t>a. Perlu perbaikan secara klasikal soal nomor</t>
  </si>
  <si>
    <t>b. Perlu perbaikan secara perorangan soal, yaitu :</t>
  </si>
  <si>
    <t>: 1, 2, 3, 4, 5</t>
  </si>
  <si>
    <t>6.</t>
  </si>
  <si>
    <t>7.</t>
  </si>
  <si>
    <t>8.</t>
  </si>
  <si>
    <t>9.</t>
  </si>
  <si>
    <t>10.</t>
  </si>
  <si>
    <t>PROGRAM PERBAIKAN</t>
  </si>
  <si>
    <t>: Matematika</t>
  </si>
  <si>
    <t>: Lingkaran</t>
  </si>
  <si>
    <t>: VIII – A / II (dua)</t>
  </si>
  <si>
    <t>Nomor Soal yang belum tuntas</t>
  </si>
  <si>
    <t>Kegiatan yang
dilaksanakan</t>
  </si>
  <si>
    <t xml:space="preserve">ULANGAN
PERBAIKAN </t>
  </si>
  <si>
    <t>PROGRAM PENGAYAAN</t>
  </si>
  <si>
    <t>: 30</t>
  </si>
  <si>
    <t>% Ketuntasan Perorangan</t>
  </si>
  <si>
    <t>Kegiatan yang dilaksanakan</t>
  </si>
  <si>
    <t>Jumlah Siswa</t>
  </si>
  <si>
    <t>Ket</t>
  </si>
  <si>
    <t>63 – 85</t>
  </si>
  <si>
    <t>Menyelesaikan tugas yang diberikan guru yang berkaitan dengan materi soal nomor : 1 s.d 5
(lebih mendalam dari Ulangan Harian))</t>
  </si>
  <si>
    <t>86 – 95</t>
  </si>
  <si>
    <t>Menyelesaikan tugas yang diberikan guru yang berkaitan dengan materi soal nomor : 1 s.d 5
(lebih mendalam dari kelompok 1)</t>
  </si>
  <si>
    <t>96 – 100</t>
  </si>
  <si>
    <t>Menyelesaikan tugas yang diberikan guru yang berkaitan dengan materi soal nomor : 1 s.d 5
(lebih mendalam dari kelompok 2)</t>
  </si>
  <si>
    <t>KELAS /SEMESTER</t>
  </si>
  <si>
    <t>Penilaian Tengah Semester</t>
  </si>
  <si>
    <t>DAFTAR NILAI REMEDIAL</t>
  </si>
  <si>
    <t>HASIL REMEDIAL DAN PENGAYAAN</t>
  </si>
  <si>
    <t>JUMLAH SKOR PEROLEHAN</t>
  </si>
  <si>
    <t>JUMLAH SKOR MAKSIMAL</t>
  </si>
  <si>
    <t>% KETERCAPAIAN</t>
  </si>
  <si>
    <t>% KEGAGALAN</t>
  </si>
  <si>
    <t>KETERANGAN</t>
  </si>
  <si>
    <t>TANGGAL TES REMEDIAL</t>
  </si>
  <si>
    <t xml:space="preserve">Kendari , </t>
  </si>
  <si>
    <t>Langkah untuk mengisi data kelompok atas dan klpk bawah yaitu Urutkan berdasarkan nilai tertinggi sampai terendah untuk memudahkan mengambil kelompok atas dan bawah kemudian pindahkan sesuai jumlah sampel</t>
  </si>
  <si>
    <t>ALIF AKBAR</t>
  </si>
  <si>
    <t>ALISA</t>
  </si>
  <si>
    <t>AMIR</t>
  </si>
  <si>
    <t>ASWADILSYAH</t>
  </si>
  <si>
    <t>DESY REGITA SARI</t>
  </si>
  <si>
    <t>EFA RIANA</t>
  </si>
  <si>
    <t>EKA FITRIANI</t>
  </si>
  <si>
    <t>ENDAH SRI TORADA</t>
  </si>
  <si>
    <t>FARADILLA RAHMAN</t>
  </si>
  <si>
    <t>FEBRIYANTI</t>
  </si>
  <si>
    <t>FITRIANI</t>
  </si>
  <si>
    <t>HAFIZHAH</t>
  </si>
  <si>
    <t>KATRIN ALMEISA</t>
  </si>
  <si>
    <t>KHAVIFA DEWI AYU AMALIAH ACHMAD</t>
  </si>
  <si>
    <t>LA ODE MUHAMMAD AFANDI</t>
  </si>
  <si>
    <t>MASYRUQ AL JAZZULI</t>
  </si>
  <si>
    <t>MAULIDATUL KHOIUN NI'MAH</t>
  </si>
  <si>
    <t>MUH. FAJRY MUHARRAM</t>
  </si>
  <si>
    <t>MUHAMMAD ALFIAN BAKTI S.</t>
  </si>
  <si>
    <t>MUHAMMAD ARIANSYAH</t>
  </si>
  <si>
    <t>MUHAMMAD HAFIZH H.A</t>
  </si>
  <si>
    <t>MUHAMMAD ILHAMSYAH</t>
  </si>
  <si>
    <t>MUHAMMAD REZA FAHLEVI</t>
  </si>
  <si>
    <t>MUHAMMAD SYAHRIL RAMADHAN</t>
  </si>
  <si>
    <t>MUHAMMAD SYAHRUL RAMADHAN</t>
  </si>
  <si>
    <t>NUR HAZIRAH</t>
  </si>
  <si>
    <t>NURFADILAH</t>
  </si>
  <si>
    <t>RATI YANI</t>
  </si>
  <si>
    <t>SIGIT ARI DJAYADI</t>
  </si>
  <si>
    <t>SUKMA JULIA RAUF</t>
  </si>
  <si>
    <t>SUPARDI</t>
  </si>
  <si>
    <t>TINA ERLIAN</t>
  </si>
  <si>
    <t>WHIRANATHA</t>
  </si>
  <si>
    <t>WINDA BIRING ALLO</t>
  </si>
  <si>
    <t>YUSUF SALAM</t>
  </si>
  <si>
    <t>1a</t>
  </si>
  <si>
    <t>1b</t>
  </si>
  <si>
    <t>2a</t>
  </si>
  <si>
    <t>2b</t>
  </si>
  <si>
    <t>3a</t>
  </si>
  <si>
    <t>3b</t>
  </si>
  <si>
    <t>4a</t>
  </si>
  <si>
    <t>4b</t>
  </si>
  <si>
    <t>Matematika Peminatan</t>
  </si>
  <si>
    <t>Limit Fungsi</t>
  </si>
  <si>
    <t>XII MIPA 2/  SATU (GANJIL )</t>
  </si>
  <si>
    <t>KELAS</t>
  </si>
  <si>
    <t>NAMA ULANGAN</t>
  </si>
  <si>
    <t>MATERI</t>
  </si>
  <si>
    <t>TANGGAL ULANGAN</t>
  </si>
  <si>
    <t>NILAI KETUNTASAN</t>
  </si>
  <si>
    <t>tabel_ulangan.nama</t>
  </si>
  <si>
    <t>tabel_kelas.nama</t>
  </si>
  <si>
    <t>tabel_mapel.nama</t>
  </si>
  <si>
    <t>tabel_subbab.nama</t>
  </si>
  <si>
    <t>tabel_ulangan.tanggal</t>
  </si>
  <si>
    <t>tabel_ulangan.kkm</t>
  </si>
  <si>
    <t>tabel_users.name</t>
  </si>
  <si>
    <t>Keterangan Ketuntasan</t>
  </si>
  <si>
    <t>Al Zidni Kasim</t>
  </si>
  <si>
    <t>Belum Tuntas</t>
  </si>
  <si>
    <t>Tuntas</t>
  </si>
  <si>
    <t>82.5</t>
  </si>
  <si>
    <t>2 Orang</t>
  </si>
  <si>
    <t>1 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</si>
</sst>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-409]d\-mmm\-yy;@"/>
    <numFmt numFmtId="166" formatCode="[$-421]dd\ mmmm\ yyyy;@"/>
  </numFmts>
  <fonts count="56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b/>
      <sz val="10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16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9"/>
      <name val="Courier New"/>
      <family val="3"/>
    </font>
    <font>
      <b/>
      <sz val="14"/>
      <name val="Times New Roman"/>
      <family val="1"/>
    </font>
    <font>
      <b/>
      <sz val="11"/>
      <color indexed="12"/>
      <name val="Times New Roman"/>
      <family val="1"/>
    </font>
    <font>
      <b/>
      <sz val="10"/>
      <color indexed="12"/>
      <name val="Times New Roman"/>
      <family val="1"/>
    </font>
    <font>
      <sz val="11"/>
      <name val="Arial"/>
      <family val="2"/>
    </font>
    <font>
      <sz val="8"/>
      <name val="Courier New"/>
      <family val="3"/>
    </font>
    <font>
      <sz val="10"/>
      <name val="Courier New"/>
      <family val="3"/>
    </font>
    <font>
      <b/>
      <sz val="11"/>
      <name val="Arial"/>
      <family val="2"/>
    </font>
    <font>
      <b/>
      <sz val="18"/>
      <name val="Times New Roman"/>
      <family val="1"/>
    </font>
    <font>
      <b/>
      <sz val="12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12"/>
      <name val="Tahoma"/>
      <family val="2"/>
    </font>
    <font>
      <sz val="8"/>
      <color indexed="12"/>
      <name val="Tahoma"/>
      <family val="2"/>
    </font>
    <font>
      <b/>
      <sz val="8"/>
      <color indexed="10"/>
      <name val="Tahoma"/>
      <family val="2"/>
    </font>
    <font>
      <sz val="8"/>
      <color indexed="10"/>
      <name val="Tahoma"/>
      <family val="2"/>
    </font>
    <font>
      <b/>
      <sz val="10"/>
      <color indexed="10"/>
      <name val="Tahoma"/>
      <family val="2"/>
    </font>
    <font>
      <b/>
      <sz val="8"/>
      <color indexed="81"/>
      <name val="Tahoma"/>
      <family val="2"/>
    </font>
    <font>
      <sz val="9"/>
      <name val="Arial Narrow"/>
      <family val="2"/>
    </font>
    <font>
      <b/>
      <sz val="11"/>
      <color indexed="81"/>
      <name val="Tahoma"/>
      <family val="2"/>
    </font>
    <font>
      <b/>
      <sz val="12"/>
      <color indexed="10"/>
      <name val="Tahoma"/>
      <family val="2"/>
    </font>
    <font>
      <b/>
      <sz val="12"/>
      <color indexed="12"/>
      <name val="Tahoma"/>
      <family val="2"/>
    </font>
    <font>
      <b/>
      <sz val="8"/>
      <name val="Times New Roman"/>
      <family val="1"/>
    </font>
    <font>
      <b/>
      <sz val="16"/>
      <color indexed="10"/>
      <name val="Tahoma"/>
      <family val="2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indexed="81"/>
      <name val="Times New Roman"/>
      <family val="1"/>
    </font>
    <font>
      <sz val="10"/>
      <color indexed="81"/>
      <name val="Times New Roman"/>
      <family val="1"/>
    </font>
    <font>
      <b/>
      <sz val="10"/>
      <color indexed="81"/>
      <name val="Times New Roman"/>
      <family val="1"/>
    </font>
    <font>
      <sz val="10"/>
      <name val="Arial"/>
      <family val="2"/>
    </font>
    <font>
      <vertAlign val="superscript"/>
      <sz val="10"/>
      <name val="Arial"/>
      <family val="2"/>
    </font>
    <font>
      <vertAlign val="subscript"/>
      <sz val="10"/>
      <name val="Arial"/>
      <family val="2"/>
    </font>
    <font>
      <b/>
      <sz val="11"/>
      <color indexed="12"/>
      <name val="Tahoma"/>
      <family val="2"/>
    </font>
    <font>
      <b/>
      <sz val="9"/>
      <color indexed="10"/>
      <name val="Tahoma"/>
      <family val="2"/>
    </font>
    <font>
      <sz val="9"/>
      <name val="Candara"/>
      <family val="2"/>
    </font>
    <font>
      <sz val="10"/>
      <name val="Candara"/>
      <family val="2"/>
    </font>
    <font>
      <sz val="8"/>
      <name val="Maiandra GD"/>
      <family val="2"/>
    </font>
    <font>
      <b/>
      <sz val="8"/>
      <name val="Maiandra GD"/>
      <family val="2"/>
    </font>
    <font>
      <sz val="8"/>
      <name val="Candara"/>
      <family val="2"/>
    </font>
    <font>
      <b/>
      <sz val="11"/>
      <name val="Arial Unicode MS"/>
      <family val="2"/>
    </font>
    <font>
      <sz val="11"/>
      <name val="Arial Unicode MS"/>
      <family val="2"/>
    </font>
    <font>
      <sz val="10"/>
      <name val="Arial Unicode MS"/>
      <family val="2"/>
    </font>
    <font>
      <sz val="8"/>
      <name val="Arial Narrow"/>
      <family val="2"/>
    </font>
    <font>
      <sz val="9"/>
      <color theme="1"/>
      <name val="Kokila"/>
      <family val="2"/>
    </font>
  </fonts>
  <fills count="12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23"/>
      </right>
      <top style="medium">
        <color indexed="64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medium">
        <color indexed="64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medium">
        <color indexed="64"/>
      </top>
      <bottom style="hair">
        <color indexed="23"/>
      </bottom>
      <diagonal/>
    </border>
    <border>
      <left style="medium">
        <color indexed="64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hair">
        <color indexed="23"/>
      </bottom>
      <diagonal/>
    </border>
    <border>
      <left style="medium">
        <color indexed="64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medium">
        <color indexed="64"/>
      </bottom>
      <diagonal/>
    </border>
    <border>
      <left style="hair">
        <color indexed="23"/>
      </left>
      <right style="medium">
        <color indexed="64"/>
      </right>
      <top style="hair">
        <color indexed="2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55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medium">
        <color indexed="64"/>
      </right>
      <top style="hair">
        <color indexed="23"/>
      </top>
      <bottom style="hair">
        <color indexed="23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4">
    <xf numFmtId="0" fontId="0" fillId="0" borderId="0"/>
    <xf numFmtId="0" fontId="34" fillId="0" borderId="0"/>
    <xf numFmtId="9" fontId="1" fillId="0" borderId="0" applyFont="0" applyFill="0" applyBorder="0" applyAlignment="0" applyProtection="0"/>
    <xf numFmtId="0" fontId="34" fillId="0" borderId="0"/>
  </cellStyleXfs>
  <cellXfs count="44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left" vertical="center" indent="3"/>
    </xf>
    <xf numFmtId="0" fontId="6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 applyFill="1" applyBorder="1"/>
    <xf numFmtId="0" fontId="3" fillId="0" borderId="0" xfId="0" applyFont="1" applyFill="1"/>
    <xf numFmtId="0" fontId="4" fillId="0" borderId="0" xfId="0" applyFont="1" applyFill="1" applyBorder="1" applyAlignment="1">
      <alignment horizontal="center" vertical="center" textRotation="90"/>
    </xf>
    <xf numFmtId="0" fontId="3" fillId="0" borderId="0" xfId="0" applyFont="1" applyFill="1" applyAlignment="1">
      <alignment horizontal="center" vertical="center"/>
    </xf>
    <xf numFmtId="0" fontId="3" fillId="0" borderId="9" xfId="0" applyFont="1" applyFill="1" applyBorder="1"/>
    <xf numFmtId="0" fontId="3" fillId="0" borderId="10" xfId="0" applyFont="1" applyFill="1" applyBorder="1"/>
    <xf numFmtId="0" fontId="5" fillId="0" borderId="1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5" xfId="0" applyFont="1" applyFill="1" applyBorder="1"/>
    <xf numFmtId="0" fontId="3" fillId="2" borderId="16" xfId="0" applyFont="1" applyFill="1" applyBorder="1"/>
    <xf numFmtId="0" fontId="3" fillId="2" borderId="17" xfId="0" applyFont="1" applyFill="1" applyBorder="1"/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/>
    <xf numFmtId="0" fontId="9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5" fillId="0" borderId="9" xfId="0" applyFont="1" applyFill="1" applyBorder="1"/>
    <xf numFmtId="0" fontId="9" fillId="0" borderId="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5" fillId="0" borderId="11" xfId="0" applyFont="1" applyFill="1" applyBorder="1"/>
    <xf numFmtId="0" fontId="9" fillId="0" borderId="11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3" fillId="2" borderId="20" xfId="0" applyFont="1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Fill="1" applyBorder="1"/>
    <xf numFmtId="0" fontId="13" fillId="3" borderId="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4" borderId="0" xfId="0" applyFill="1" applyBorder="1"/>
    <xf numFmtId="0" fontId="19" fillId="4" borderId="22" xfId="0" applyFont="1" applyFill="1" applyBorder="1" applyAlignment="1">
      <alignment horizontal="left" vertic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14" fillId="2" borderId="3" xfId="0" applyFont="1" applyFill="1" applyBorder="1" applyAlignment="1">
      <alignment horizontal="center" vertical="center"/>
    </xf>
    <xf numFmtId="2" fontId="18" fillId="0" borderId="0" xfId="0" applyNumberFormat="1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8" fillId="4" borderId="0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20" fillId="3" borderId="27" xfId="0" applyFont="1" applyFill="1" applyBorder="1" applyAlignment="1">
      <alignment horizontal="center" vertical="center"/>
    </xf>
    <xf numFmtId="0" fontId="0" fillId="4" borderId="28" xfId="0" applyFill="1" applyBorder="1"/>
    <xf numFmtId="0" fontId="0" fillId="4" borderId="29" xfId="0" applyFill="1" applyBorder="1"/>
    <xf numFmtId="0" fontId="0" fillId="4" borderId="21" xfId="0" applyFill="1" applyBorder="1"/>
    <xf numFmtId="0" fontId="0" fillId="4" borderId="30" xfId="0" applyFill="1" applyBorder="1"/>
    <xf numFmtId="0" fontId="0" fillId="4" borderId="31" xfId="0" applyFill="1" applyBorder="1"/>
    <xf numFmtId="0" fontId="0" fillId="4" borderId="32" xfId="0" applyFill="1" applyBorder="1"/>
    <xf numFmtId="0" fontId="0" fillId="4" borderId="33" xfId="0" applyFill="1" applyBorder="1"/>
    <xf numFmtId="0" fontId="15" fillId="0" borderId="34" xfId="0" applyFont="1" applyFill="1" applyBorder="1" applyAlignment="1">
      <alignment horizontal="center"/>
    </xf>
    <xf numFmtId="0" fontId="15" fillId="0" borderId="35" xfId="0" applyFont="1" applyFill="1" applyBorder="1" applyAlignment="1">
      <alignment horizontal="center"/>
    </xf>
    <xf numFmtId="0" fontId="15" fillId="0" borderId="36" xfId="0" applyFont="1" applyFill="1" applyBorder="1" applyAlignment="1">
      <alignment horizontal="center"/>
    </xf>
    <xf numFmtId="0" fontId="15" fillId="0" borderId="37" xfId="0" applyFont="1" applyFill="1" applyBorder="1" applyAlignment="1">
      <alignment horizontal="center"/>
    </xf>
    <xf numFmtId="0" fontId="15" fillId="0" borderId="38" xfId="0" applyFont="1" applyFill="1" applyBorder="1" applyAlignment="1">
      <alignment horizontal="center"/>
    </xf>
    <xf numFmtId="0" fontId="15" fillId="0" borderId="39" xfId="0" applyFont="1" applyFill="1" applyBorder="1" applyAlignment="1">
      <alignment horizontal="center"/>
    </xf>
    <xf numFmtId="0" fontId="15" fillId="0" borderId="40" xfId="0" applyFont="1" applyFill="1" applyBorder="1" applyAlignment="1">
      <alignment horizontal="center"/>
    </xf>
    <xf numFmtId="0" fontId="15" fillId="0" borderId="41" xfId="0" applyFont="1" applyFill="1" applyBorder="1" applyAlignment="1">
      <alignment horizontal="center"/>
    </xf>
    <xf numFmtId="0" fontId="15" fillId="0" borderId="42" xfId="0" applyFont="1" applyFill="1" applyBorder="1" applyAlignment="1">
      <alignment horizontal="center"/>
    </xf>
    <xf numFmtId="0" fontId="0" fillId="4" borderId="21" xfId="0" applyFill="1" applyBorder="1" applyAlignment="1">
      <alignment horizontal="center" vertical="center"/>
    </xf>
    <xf numFmtId="2" fontId="18" fillId="0" borderId="30" xfId="0" applyNumberFormat="1" applyFont="1" applyFill="1" applyBorder="1" applyAlignment="1">
      <alignment horizontal="center" vertical="center"/>
    </xf>
    <xf numFmtId="0" fontId="0" fillId="4" borderId="43" xfId="0" applyFill="1" applyBorder="1" applyAlignment="1">
      <alignment horizontal="left" vertical="center"/>
    </xf>
    <xf numFmtId="0" fontId="0" fillId="4" borderId="44" xfId="0" applyFill="1" applyBorder="1" applyAlignment="1">
      <alignment horizontal="center" vertical="center"/>
    </xf>
    <xf numFmtId="0" fontId="18" fillId="4" borderId="44" xfId="0" applyFont="1" applyFill="1" applyBorder="1" applyAlignment="1">
      <alignment horizontal="center" vertical="center"/>
    </xf>
    <xf numFmtId="2" fontId="18" fillId="3" borderId="45" xfId="0" applyNumberFormat="1" applyFont="1" applyFill="1" applyBorder="1" applyAlignment="1">
      <alignment horizontal="center" vertical="center"/>
    </xf>
    <xf numFmtId="0" fontId="3" fillId="2" borderId="32" xfId="0" applyFont="1" applyFill="1" applyBorder="1"/>
    <xf numFmtId="0" fontId="14" fillId="3" borderId="4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46" xfId="0" applyFont="1" applyFill="1" applyBorder="1" applyAlignment="1">
      <alignment horizontal="center" vertical="center"/>
    </xf>
    <xf numFmtId="0" fontId="11" fillId="0" borderId="46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" fontId="3" fillId="0" borderId="0" xfId="0" applyNumberFormat="1" applyFont="1" applyFill="1" applyAlignment="1">
      <alignment horizontal="center" vertical="center"/>
    </xf>
    <xf numFmtId="1" fontId="3" fillId="0" borderId="9" xfId="0" applyNumberFormat="1" applyFont="1" applyFill="1" applyBorder="1"/>
    <xf numFmtId="1" fontId="3" fillId="0" borderId="0" xfId="0" applyNumberFormat="1" applyFont="1" applyFill="1" applyBorder="1"/>
    <xf numFmtId="1" fontId="11" fillId="0" borderId="46" xfId="0" applyNumberFormat="1" applyFont="1" applyFill="1" applyBorder="1" applyAlignment="1">
      <alignment horizontal="center" vertical="center"/>
    </xf>
    <xf numFmtId="1" fontId="11" fillId="0" borderId="11" xfId="0" applyNumberFormat="1" applyFont="1" applyFill="1" applyBorder="1" applyAlignment="1">
      <alignment horizontal="center" vertical="center"/>
    </xf>
    <xf numFmtId="0" fontId="6" fillId="0" borderId="4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" fontId="9" fillId="0" borderId="0" xfId="0" applyNumberFormat="1" applyFont="1" applyFill="1" applyBorder="1" applyAlignment="1">
      <alignment horizontal="left" vertical="center"/>
    </xf>
    <xf numFmtId="0" fontId="16" fillId="0" borderId="48" xfId="0" applyFont="1" applyFill="1" applyBorder="1" applyAlignment="1">
      <alignment horizontal="center" vertical="center"/>
    </xf>
    <xf numFmtId="1" fontId="16" fillId="0" borderId="48" xfId="0" applyNumberFormat="1" applyFont="1" applyFill="1" applyBorder="1" applyAlignment="1">
      <alignment horizontal="center" vertical="center"/>
    </xf>
    <xf numFmtId="0" fontId="16" fillId="0" borderId="49" xfId="0" applyFont="1" applyFill="1" applyBorder="1" applyAlignment="1">
      <alignment horizontal="center" vertical="center"/>
    </xf>
    <xf numFmtId="1" fontId="16" fillId="0" borderId="49" xfId="0" applyNumberFormat="1" applyFont="1" applyFill="1" applyBorder="1" applyAlignment="1">
      <alignment horizontal="center" vertical="center"/>
    </xf>
    <xf numFmtId="0" fontId="5" fillId="0" borderId="47" xfId="0" applyFont="1" applyFill="1" applyBorder="1" applyAlignment="1">
      <alignment horizontal="left" indent="1"/>
    </xf>
    <xf numFmtId="0" fontId="5" fillId="0" borderId="9" xfId="0" applyFont="1" applyFill="1" applyBorder="1" applyAlignment="1">
      <alignment horizontal="center"/>
    </xf>
    <xf numFmtId="0" fontId="5" fillId="0" borderId="30" xfId="0" applyFont="1" applyFill="1" applyBorder="1"/>
    <xf numFmtId="0" fontId="5" fillId="0" borderId="12" xfId="0" applyFont="1" applyFill="1" applyBorder="1" applyAlignment="1">
      <alignment horizontal="left" indent="1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5" fillId="0" borderId="13" xfId="0" applyFont="1" applyFill="1" applyBorder="1" applyAlignment="1">
      <alignment horizontal="left" indent="1"/>
    </xf>
    <xf numFmtId="0" fontId="5" fillId="0" borderId="0" xfId="0" applyFont="1" applyBorder="1"/>
    <xf numFmtId="0" fontId="6" fillId="0" borderId="9" xfId="0" applyFont="1" applyFill="1" applyBorder="1" applyAlignment="1">
      <alignment horizontal="left" vertical="center"/>
    </xf>
    <xf numFmtId="0" fontId="6" fillId="0" borderId="9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6" fillId="0" borderId="11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left" vertical="center" indent="2"/>
    </xf>
    <xf numFmtId="0" fontId="6" fillId="0" borderId="0" xfId="0" applyFont="1" applyFill="1" applyBorder="1" applyAlignment="1">
      <alignment horizontal="left" vertical="center" indent="2"/>
    </xf>
    <xf numFmtId="0" fontId="6" fillId="0" borderId="11" xfId="0" applyFont="1" applyFill="1" applyBorder="1" applyAlignment="1">
      <alignment horizontal="left" vertical="center" indent="2"/>
    </xf>
    <xf numFmtId="3" fontId="6" fillId="0" borderId="9" xfId="0" applyNumberFormat="1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center" vertical="center"/>
    </xf>
    <xf numFmtId="1" fontId="6" fillId="0" borderId="11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left" vertical="center" indent="1"/>
    </xf>
    <xf numFmtId="0" fontId="6" fillId="0" borderId="19" xfId="0" applyFont="1" applyFill="1" applyBorder="1" applyAlignment="1">
      <alignment horizontal="left" vertical="center" indent="1"/>
    </xf>
    <xf numFmtId="0" fontId="6" fillId="0" borderId="14" xfId="0" applyFont="1" applyFill="1" applyBorder="1" applyAlignment="1">
      <alignment horizontal="left" vertical="center" indent="1"/>
    </xf>
    <xf numFmtId="0" fontId="3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39" fontId="17" fillId="0" borderId="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35" fillId="5" borderId="4" xfId="0" applyFont="1" applyFill="1" applyBorder="1" applyAlignment="1"/>
    <xf numFmtId="0" fontId="6" fillId="0" borderId="4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/>
    </xf>
    <xf numFmtId="0" fontId="5" fillId="0" borderId="51" xfId="0" applyFont="1" applyFill="1" applyBorder="1" applyAlignment="1">
      <alignment horizontal="left"/>
    </xf>
    <xf numFmtId="164" fontId="13" fillId="3" borderId="4" xfId="0" applyNumberFormat="1" applyFont="1" applyFill="1" applyBorder="1" applyAlignment="1">
      <alignment horizontal="center" vertical="center"/>
    </xf>
    <xf numFmtId="0" fontId="41" fillId="4" borderId="52" xfId="0" applyFont="1" applyFill="1" applyBorder="1"/>
    <xf numFmtId="0" fontId="41" fillId="4" borderId="21" xfId="0" applyFont="1" applyFill="1" applyBorder="1"/>
    <xf numFmtId="2" fontId="15" fillId="0" borderId="37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39" xfId="0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vertical="center"/>
    </xf>
    <xf numFmtId="0" fontId="3" fillId="2" borderId="50" xfId="0" applyFont="1" applyFill="1" applyBorder="1" applyAlignment="1">
      <alignment vertical="center"/>
    </xf>
    <xf numFmtId="0" fontId="34" fillId="4" borderId="21" xfId="0" applyFont="1" applyFill="1" applyBorder="1"/>
    <xf numFmtId="1" fontId="15" fillId="0" borderId="37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3" fillId="3" borderId="4" xfId="0" applyNumberFormat="1" applyFont="1" applyFill="1" applyBorder="1" applyAlignment="1">
      <alignment horizontal="center" vertical="center"/>
    </xf>
    <xf numFmtId="0" fontId="10" fillId="0" borderId="0" xfId="0" quotePrefix="1" applyFont="1" applyFill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quotePrefix="1" applyFont="1" applyFill="1" applyAlignment="1">
      <alignment horizontal="center" vertical="center"/>
    </xf>
    <xf numFmtId="2" fontId="9" fillId="0" borderId="11" xfId="0" applyNumberFormat="1" applyFont="1" applyFill="1" applyBorder="1" applyAlignment="1">
      <alignment vertical="center"/>
    </xf>
    <xf numFmtId="2" fontId="9" fillId="0" borderId="11" xfId="0" applyNumberFormat="1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15" fontId="9" fillId="0" borderId="0" xfId="0" applyNumberFormat="1" applyFont="1" applyFill="1" applyBorder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2" fillId="0" borderId="0" xfId="0" applyFont="1" applyFill="1" applyAlignment="1">
      <alignment vertical="center"/>
    </xf>
    <xf numFmtId="1" fontId="7" fillId="8" borderId="3" xfId="0" applyNumberFormat="1" applyFont="1" applyFill="1" applyBorder="1" applyAlignment="1">
      <alignment horizontal="center" vertical="center"/>
    </xf>
    <xf numFmtId="0" fontId="5" fillId="9" borderId="5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2" fontId="6" fillId="9" borderId="54" xfId="0" applyNumberFormat="1" applyFont="1" applyFill="1" applyBorder="1" applyAlignment="1">
      <alignment horizontal="center" vertical="center"/>
    </xf>
    <xf numFmtId="0" fontId="10" fillId="9" borderId="49" xfId="0" applyFont="1" applyFill="1" applyBorder="1" applyAlignment="1">
      <alignment horizontal="center" vertical="center"/>
    </xf>
    <xf numFmtId="2" fontId="6" fillId="9" borderId="55" xfId="0" applyNumberFormat="1" applyFont="1" applyFill="1" applyBorder="1" applyAlignment="1">
      <alignment horizontal="center" vertical="center"/>
    </xf>
    <xf numFmtId="0" fontId="6" fillId="8" borderId="48" xfId="0" applyFont="1" applyFill="1" applyBorder="1" applyAlignment="1">
      <alignment horizontal="center" vertical="center"/>
    </xf>
    <xf numFmtId="0" fontId="6" fillId="8" borderId="56" xfId="0" applyFont="1" applyFill="1" applyBorder="1" applyAlignment="1">
      <alignment horizontal="center" vertical="center"/>
    </xf>
    <xf numFmtId="0" fontId="6" fillId="8" borderId="57" xfId="0" applyFont="1" applyFill="1" applyBorder="1" applyAlignment="1">
      <alignment horizontal="center" vertical="center"/>
    </xf>
    <xf numFmtId="0" fontId="6" fillId="8" borderId="49" xfId="0" applyFont="1" applyFill="1" applyBorder="1" applyAlignment="1">
      <alignment horizontal="center" vertical="center"/>
    </xf>
    <xf numFmtId="0" fontId="6" fillId="8" borderId="58" xfId="0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2" fillId="8" borderId="59" xfId="0" applyFont="1" applyFill="1" applyBorder="1" applyAlignment="1">
      <alignment horizontal="center" vertical="center"/>
    </xf>
    <xf numFmtId="0" fontId="35" fillId="10" borderId="4" xfId="0" applyFont="1" applyFill="1" applyBorder="1" applyAlignment="1"/>
    <xf numFmtId="0" fontId="6" fillId="10" borderId="4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/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6" fillId="0" borderId="0" xfId="0" applyFont="1"/>
    <xf numFmtId="0" fontId="48" fillId="0" borderId="0" xfId="0" applyFont="1"/>
    <xf numFmtId="0" fontId="49" fillId="0" borderId="0" xfId="0" applyFont="1" applyFill="1" applyBorder="1"/>
    <xf numFmtId="0" fontId="49" fillId="0" borderId="30" xfId="0" applyFont="1" applyFill="1" applyBorder="1"/>
    <xf numFmtId="0" fontId="4" fillId="2" borderId="14" xfId="0" applyFont="1" applyFill="1" applyBorder="1" applyAlignment="1">
      <alignment horizontal="center" vertical="center"/>
    </xf>
    <xf numFmtId="49" fontId="50" fillId="8" borderId="60" xfId="1" applyNumberFormat="1" applyFont="1" applyFill="1" applyBorder="1" applyAlignment="1">
      <alignment horizontal="left" vertical="center"/>
    </xf>
    <xf numFmtId="0" fontId="28" fillId="0" borderId="61" xfId="0" applyFont="1" applyFill="1" applyBorder="1" applyAlignment="1">
      <alignment vertical="center"/>
    </xf>
    <xf numFmtId="0" fontId="28" fillId="0" borderId="62" xfId="0" applyFont="1" applyFill="1" applyBorder="1" applyAlignment="1">
      <alignment vertical="center"/>
    </xf>
    <xf numFmtId="0" fontId="6" fillId="0" borderId="46" xfId="0" applyFont="1" applyFill="1" applyBorder="1" applyAlignment="1">
      <alignment vertical="center"/>
    </xf>
    <xf numFmtId="0" fontId="5" fillId="0" borderId="11" xfId="0" applyFont="1" applyFill="1" applyBorder="1" applyAlignment="1"/>
    <xf numFmtId="0" fontId="3" fillId="0" borderId="0" xfId="0" applyFont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5" fillId="10" borderId="50" xfId="0" applyFont="1" applyFill="1" applyBorder="1" applyAlignment="1"/>
    <xf numFmtId="0" fontId="6" fillId="10" borderId="50" xfId="0" applyFont="1" applyFill="1" applyBorder="1" applyAlignment="1">
      <alignment horizontal="center" vertical="center"/>
    </xf>
    <xf numFmtId="0" fontId="52" fillId="0" borderId="0" xfId="0" applyFont="1"/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 indent="6"/>
    </xf>
    <xf numFmtId="0" fontId="52" fillId="0" borderId="4" xfId="0" applyFont="1" applyBorder="1" applyAlignment="1">
      <alignment horizontal="center" vertical="center"/>
    </xf>
    <xf numFmtId="0" fontId="52" fillId="0" borderId="49" xfId="0" applyFont="1" applyBorder="1" applyAlignment="1">
      <alignment horizontal="center" vertical="center"/>
    </xf>
    <xf numFmtId="0" fontId="52" fillId="0" borderId="81" xfId="0" applyFont="1" applyBorder="1" applyAlignment="1">
      <alignment horizontal="center" vertical="center"/>
    </xf>
    <xf numFmtId="0" fontId="52" fillId="0" borderId="0" xfId="0" applyFont="1" applyAlignment="1">
      <alignment horizontal="center"/>
    </xf>
    <xf numFmtId="0" fontId="52" fillId="0" borderId="4" xfId="0" applyFont="1" applyBorder="1" applyAlignment="1">
      <alignment vertical="center"/>
    </xf>
    <xf numFmtId="0" fontId="52" fillId="0" borderId="4" xfId="0" applyFont="1" applyBorder="1" applyAlignment="1">
      <alignment vertical="center" wrapText="1"/>
    </xf>
    <xf numFmtId="0" fontId="52" fillId="0" borderId="0" xfId="0" applyFont="1" applyBorder="1"/>
    <xf numFmtId="0" fontId="52" fillId="0" borderId="0" xfId="0" applyFont="1" applyBorder="1" applyAlignment="1">
      <alignment horizontal="justify" vertical="top" wrapText="1"/>
    </xf>
    <xf numFmtId="0" fontId="52" fillId="0" borderId="0" xfId="0" applyFont="1" applyBorder="1" applyAlignment="1">
      <alignment horizontal="center" vertical="top" wrapText="1"/>
    </xf>
    <xf numFmtId="0" fontId="52" fillId="0" borderId="0" xfId="0" applyFont="1" applyBorder="1" applyAlignment="1">
      <alignment horizontal="left" vertical="top" wrapText="1"/>
    </xf>
    <xf numFmtId="0" fontId="52" fillId="0" borderId="0" xfId="0" applyFont="1" applyBorder="1" applyAlignment="1">
      <alignment horizontal="left"/>
    </xf>
    <xf numFmtId="0" fontId="52" fillId="0" borderId="0" xfId="0" applyFont="1" applyBorder="1" applyAlignment="1">
      <alignment vertical="top" wrapText="1"/>
    </xf>
    <xf numFmtId="0" fontId="53" fillId="0" borderId="0" xfId="0" applyFont="1"/>
    <xf numFmtId="0" fontId="53" fillId="0" borderId="0" xfId="0" quotePrefix="1" applyFont="1" applyAlignment="1"/>
    <xf numFmtId="0" fontId="53" fillId="0" borderId="0" xfId="0" applyFont="1" applyAlignment="1"/>
    <xf numFmtId="0" fontId="53" fillId="0" borderId="0" xfId="0" quotePrefix="1" applyFont="1" applyAlignment="1">
      <alignment horizontal="left"/>
    </xf>
    <xf numFmtId="0" fontId="53" fillId="0" borderId="0" xfId="0" applyFont="1" applyAlignment="1">
      <alignment horizontal="left"/>
    </xf>
    <xf numFmtId="0" fontId="53" fillId="0" borderId="0" xfId="0" quotePrefix="1" applyFont="1" applyAlignment="1">
      <alignment horizontal="center"/>
    </xf>
    <xf numFmtId="0" fontId="53" fillId="0" borderId="4" xfId="0" applyFont="1" applyBorder="1" applyAlignment="1">
      <alignment horizontal="center" vertical="center"/>
    </xf>
    <xf numFmtId="0" fontId="53" fillId="0" borderId="48" xfId="0" applyFont="1" applyBorder="1" applyAlignment="1">
      <alignment horizontal="center" vertical="center"/>
    </xf>
    <xf numFmtId="0" fontId="53" fillId="0" borderId="48" xfId="0" applyFont="1" applyBorder="1" applyAlignment="1">
      <alignment horizontal="center"/>
    </xf>
    <xf numFmtId="0" fontId="53" fillId="0" borderId="48" xfId="0" applyFont="1" applyBorder="1"/>
    <xf numFmtId="0" fontId="53" fillId="0" borderId="49" xfId="0" applyFont="1" applyBorder="1" applyAlignment="1">
      <alignment horizontal="center" vertical="center"/>
    </xf>
    <xf numFmtId="0" fontId="52" fillId="0" borderId="48" xfId="0" applyFont="1" applyBorder="1" applyAlignment="1">
      <alignment horizontal="center"/>
    </xf>
    <xf numFmtId="0" fontId="52" fillId="0" borderId="48" xfId="0" applyFont="1" applyBorder="1"/>
    <xf numFmtId="0" fontId="52" fillId="0" borderId="4" xfId="0" applyFont="1" applyBorder="1" applyAlignment="1">
      <alignment horizontal="center"/>
    </xf>
    <xf numFmtId="0" fontId="52" fillId="0" borderId="4" xfId="0" applyFont="1" applyBorder="1"/>
    <xf numFmtId="0" fontId="52" fillId="0" borderId="0" xfId="0" applyFont="1" applyAlignment="1">
      <alignment horizontal="left" indent="2"/>
    </xf>
    <xf numFmtId="0" fontId="52" fillId="0" borderId="0" xfId="0" applyFont="1" applyAlignment="1">
      <alignment horizontal="left" indent="4"/>
    </xf>
    <xf numFmtId="0" fontId="52" fillId="0" borderId="0" xfId="0" applyFont="1" applyBorder="1" applyAlignment="1">
      <alignment horizontal="right" vertical="top" wrapText="1"/>
    </xf>
    <xf numFmtId="1" fontId="52" fillId="0" borderId="0" xfId="0" applyNumberFormat="1" applyFont="1"/>
    <xf numFmtId="9" fontId="52" fillId="0" borderId="0" xfId="2" applyFont="1"/>
    <xf numFmtId="9" fontId="52" fillId="0" borderId="0" xfId="2" applyFont="1" applyAlignment="1">
      <alignment horizontal="right"/>
    </xf>
    <xf numFmtId="0" fontId="52" fillId="0" borderId="0" xfId="0" quotePrefix="1" applyFont="1" applyAlignment="1">
      <alignment horizontal="right"/>
    </xf>
    <xf numFmtId="0" fontId="52" fillId="0" borderId="0" xfId="0" applyFont="1" applyAlignment="1">
      <alignment horizontal="right"/>
    </xf>
    <xf numFmtId="0" fontId="52" fillId="0" borderId="0" xfId="0" applyFont="1" applyAlignment="1">
      <alignment horizontal="left"/>
    </xf>
    <xf numFmtId="0" fontId="52" fillId="0" borderId="4" xfId="0" applyFont="1" applyBorder="1" applyAlignment="1">
      <alignment horizontal="center" vertical="center" wrapText="1"/>
    </xf>
    <xf numFmtId="0" fontId="52" fillId="0" borderId="0" xfId="0" applyFont="1" applyBorder="1" applyAlignment="1">
      <alignment wrapText="1"/>
    </xf>
    <xf numFmtId="0" fontId="52" fillId="0" borderId="0" xfId="0" applyFont="1" applyBorder="1" applyAlignment="1">
      <alignment horizontal="center" wrapText="1"/>
    </xf>
    <xf numFmtId="49" fontId="53" fillId="0" borderId="48" xfId="0" applyNumberFormat="1" applyFont="1" applyBorder="1" applyAlignment="1">
      <alignment vertical="center"/>
    </xf>
    <xf numFmtId="2" fontId="53" fillId="0" borderId="48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53" fillId="0" borderId="0" xfId="0" quotePrefix="1" applyFont="1" applyAlignment="1">
      <alignment horizontal="left"/>
    </xf>
    <xf numFmtId="2" fontId="6" fillId="9" borderId="82" xfId="0" applyNumberFormat="1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" fontId="54" fillId="0" borderId="4" xfId="0" applyNumberFormat="1" applyFont="1" applyBorder="1" applyAlignment="1">
      <alignment horizontal="center" vertical="center" shrinkToFit="1"/>
    </xf>
    <xf numFmtId="0" fontId="6" fillId="8" borderId="83" xfId="0" applyFont="1" applyFill="1" applyBorder="1" applyAlignment="1">
      <alignment horizontal="center" vertical="center"/>
    </xf>
    <xf numFmtId="0" fontId="6" fillId="8" borderId="84" xfId="0" applyFont="1" applyFill="1" applyBorder="1" applyAlignment="1">
      <alignment vertical="center"/>
    </xf>
    <xf numFmtId="0" fontId="6" fillId="8" borderId="85" xfId="0" applyFont="1" applyFill="1" applyBorder="1" applyAlignment="1">
      <alignment horizontal="center" vertical="center"/>
    </xf>
    <xf numFmtId="0" fontId="6" fillId="8" borderId="86" xfId="0" applyFont="1" applyFill="1" applyBorder="1" applyAlignment="1">
      <alignment horizontal="center" vertical="center"/>
    </xf>
    <xf numFmtId="0" fontId="6" fillId="8" borderId="87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54" fillId="0" borderId="4" xfId="0" applyFont="1" applyBorder="1" applyAlignment="1">
      <alignment horizontal="center" vertical="center" shrinkToFit="1"/>
    </xf>
    <xf numFmtId="0" fontId="3" fillId="2" borderId="4" xfId="0" applyFont="1" applyFill="1" applyBorder="1" applyAlignment="1">
      <alignment horizontal="center" vertical="center"/>
    </xf>
    <xf numFmtId="0" fontId="10" fillId="9" borderId="54" xfId="0" applyFont="1" applyFill="1" applyBorder="1" applyAlignment="1">
      <alignment horizontal="center" vertical="center"/>
    </xf>
    <xf numFmtId="0" fontId="10" fillId="9" borderId="55" xfId="0" applyFont="1" applyFill="1" applyBorder="1" applyAlignment="1">
      <alignment horizontal="center" vertical="center"/>
    </xf>
    <xf numFmtId="0" fontId="10" fillId="9" borderId="82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49" fontId="6" fillId="0" borderId="4" xfId="0" applyNumberFormat="1" applyFont="1" applyBorder="1" applyAlignment="1">
      <alignment horizontal="left" vertical="center"/>
    </xf>
    <xf numFmtId="0" fontId="6" fillId="8" borderId="4" xfId="0" applyFont="1" applyFill="1" applyBorder="1" applyAlignment="1">
      <alignment horizontal="center" vertical="center"/>
    </xf>
    <xf numFmtId="0" fontId="52" fillId="0" borderId="0" xfId="0" quotePrefix="1" applyFont="1" applyBorder="1" applyAlignment="1">
      <alignment vertical="top" wrapText="1"/>
    </xf>
    <xf numFmtId="0" fontId="55" fillId="8" borderId="1" xfId="0" applyFont="1" applyFill="1" applyBorder="1" applyAlignment="1">
      <alignment vertical="center"/>
    </xf>
    <xf numFmtId="0" fontId="55" fillId="0" borderId="4" xfId="0" applyFont="1" applyFill="1" applyBorder="1" applyAlignment="1">
      <alignment vertical="center"/>
    </xf>
    <xf numFmtId="0" fontId="55" fillId="0" borderId="4" xfId="0" applyFont="1" applyBorder="1"/>
    <xf numFmtId="0" fontId="55" fillId="8" borderId="4" xfId="0" applyFont="1" applyFill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6" borderId="63" xfId="0" applyFont="1" applyFill="1" applyBorder="1" applyAlignment="1">
      <alignment horizontal="center" vertical="center" textRotation="90"/>
    </xf>
    <xf numFmtId="0" fontId="4" fillId="6" borderId="64" xfId="0" applyFont="1" applyFill="1" applyBorder="1" applyAlignment="1">
      <alignment horizontal="center" vertical="center" textRotation="90"/>
    </xf>
    <xf numFmtId="0" fontId="4" fillId="6" borderId="65" xfId="0" applyFont="1" applyFill="1" applyBorder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6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166" fontId="5" fillId="0" borderId="0" xfId="0" applyNumberFormat="1" applyFont="1" applyFill="1" applyBorder="1" applyAlignment="1">
      <alignment horizontal="left" wrapText="1"/>
    </xf>
    <xf numFmtId="0" fontId="54" fillId="0" borderId="4" xfId="0" applyFont="1" applyBorder="1" applyAlignment="1">
      <alignment vertical="center" shrinkToFit="1"/>
    </xf>
    <xf numFmtId="166" fontId="3" fillId="0" borderId="0" xfId="0" applyNumberFormat="1" applyFont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9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/>
    </xf>
    <xf numFmtId="0" fontId="3" fillId="2" borderId="66" xfId="0" applyFont="1" applyFill="1" applyBorder="1" applyAlignment="1">
      <alignment horizontal="center"/>
    </xf>
    <xf numFmtId="0" fontId="2" fillId="7" borderId="43" xfId="0" applyFont="1" applyFill="1" applyBorder="1" applyAlignment="1">
      <alignment horizontal="center" vertical="center"/>
    </xf>
    <xf numFmtId="0" fontId="2" fillId="7" borderId="44" xfId="0" applyFont="1" applyFill="1" applyBorder="1" applyAlignment="1">
      <alignment horizontal="center" vertical="center"/>
    </xf>
    <xf numFmtId="0" fontId="2" fillId="7" borderId="70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52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71" xfId="0" applyFont="1" applyFill="1" applyBorder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0" fontId="3" fillId="11" borderId="0" xfId="0" applyFont="1" applyFill="1" applyAlignment="1">
      <alignment horizontal="left" wrapText="1"/>
    </xf>
    <xf numFmtId="0" fontId="3" fillId="2" borderId="3" xfId="0" applyFont="1" applyFill="1" applyBorder="1" applyAlignment="1">
      <alignment horizontal="center" vertical="center"/>
    </xf>
    <xf numFmtId="0" fontId="19" fillId="4" borderId="13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3" borderId="50" xfId="0" applyFont="1" applyFill="1" applyBorder="1" applyAlignment="1">
      <alignment horizontal="center" vertical="center"/>
    </xf>
    <xf numFmtId="0" fontId="13" fillId="3" borderId="66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left" vertical="center" indent="1"/>
    </xf>
    <xf numFmtId="0" fontId="18" fillId="2" borderId="72" xfId="0" applyFont="1" applyFill="1" applyBorder="1" applyAlignment="1">
      <alignment horizontal="center"/>
    </xf>
    <xf numFmtId="0" fontId="18" fillId="2" borderId="73" xfId="0" applyFont="1" applyFill="1" applyBorder="1" applyAlignment="1">
      <alignment horizontal="center"/>
    </xf>
    <xf numFmtId="0" fontId="18" fillId="2" borderId="74" xfId="0" applyFont="1" applyFill="1" applyBorder="1" applyAlignment="1">
      <alignment horizontal="center"/>
    </xf>
    <xf numFmtId="0" fontId="15" fillId="0" borderId="75" xfId="0" applyFont="1" applyFill="1" applyBorder="1" applyAlignment="1">
      <alignment horizontal="center"/>
    </xf>
    <xf numFmtId="0" fontId="15" fillId="0" borderId="76" xfId="0" applyFont="1" applyFill="1" applyBorder="1" applyAlignment="1">
      <alignment horizontal="center"/>
    </xf>
    <xf numFmtId="0" fontId="15" fillId="0" borderId="77" xfId="0" applyFont="1" applyFill="1" applyBorder="1" applyAlignment="1">
      <alignment horizontal="center"/>
    </xf>
    <xf numFmtId="2" fontId="18" fillId="3" borderId="43" xfId="0" applyNumberFormat="1" applyFont="1" applyFill="1" applyBorder="1" applyAlignment="1">
      <alignment horizontal="center" vertical="center"/>
    </xf>
    <xf numFmtId="2" fontId="18" fillId="3" borderId="44" xfId="0" applyNumberFormat="1" applyFont="1" applyFill="1" applyBorder="1" applyAlignment="1">
      <alignment horizontal="center" vertical="center"/>
    </xf>
    <xf numFmtId="2" fontId="18" fillId="3" borderId="7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4" fillId="0" borderId="50" xfId="0" applyFont="1" applyFill="1" applyBorder="1" applyAlignment="1">
      <alignment horizontal="center" vertical="center" textRotation="90"/>
    </xf>
    <xf numFmtId="0" fontId="4" fillId="0" borderId="66" xfId="0" applyFont="1" applyFill="1" applyBorder="1" applyAlignment="1">
      <alignment horizontal="center" vertical="center" textRotation="90"/>
    </xf>
    <xf numFmtId="0" fontId="4" fillId="0" borderId="1" xfId="0" applyFont="1" applyFill="1" applyBorder="1" applyAlignment="1">
      <alignment horizontal="center" vertical="center" textRotation="90"/>
    </xf>
    <xf numFmtId="0" fontId="32" fillId="0" borderId="50" xfId="0" applyFont="1" applyFill="1" applyBorder="1" applyAlignment="1">
      <alignment horizontal="center" vertical="center" textRotation="90"/>
    </xf>
    <xf numFmtId="0" fontId="32" fillId="0" borderId="66" xfId="0" applyFont="1" applyFill="1" applyBorder="1" applyAlignment="1">
      <alignment horizontal="center" vertical="center" textRotation="90"/>
    </xf>
    <xf numFmtId="0" fontId="32" fillId="0" borderId="1" xfId="0" applyFont="1" applyFill="1" applyBorder="1" applyAlignment="1">
      <alignment horizontal="center" vertical="center" textRotation="90"/>
    </xf>
    <xf numFmtId="1" fontId="3" fillId="0" borderId="50" xfId="0" applyNumberFormat="1" applyFont="1" applyFill="1" applyBorder="1" applyAlignment="1">
      <alignment horizontal="center" vertical="center"/>
    </xf>
    <xf numFmtId="1" fontId="3" fillId="0" borderId="66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16" fillId="0" borderId="78" xfId="0" applyFont="1" applyFill="1" applyBorder="1" applyAlignment="1">
      <alignment horizontal="center" vertical="center"/>
    </xf>
    <xf numFmtId="0" fontId="16" fillId="0" borderId="79" xfId="0" applyFont="1" applyFill="1" applyBorder="1" applyAlignment="1">
      <alignment horizontal="center" vertical="center"/>
    </xf>
    <xf numFmtId="0" fontId="16" fillId="0" borderId="80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165" fontId="9" fillId="0" borderId="0" xfId="0" applyNumberFormat="1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66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9" fillId="0" borderId="11" xfId="0" applyFont="1" applyFill="1" applyBorder="1" applyAlignment="1">
      <alignment horizontal="left" vertical="center"/>
    </xf>
    <xf numFmtId="14" fontId="3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horizontal="left" vertical="center" wrapText="1"/>
    </xf>
    <xf numFmtId="0" fontId="9" fillId="0" borderId="19" xfId="0" applyFont="1" applyFill="1" applyBorder="1" applyAlignment="1">
      <alignment horizontal="left" vertical="center" wrapText="1"/>
    </xf>
    <xf numFmtId="0" fontId="2" fillId="0" borderId="50" xfId="0" applyFont="1" applyFill="1" applyBorder="1" applyAlignment="1">
      <alignment horizontal="center" vertical="center" textRotation="90"/>
    </xf>
    <xf numFmtId="0" fontId="2" fillId="0" borderId="66" xfId="0" applyFont="1" applyFill="1" applyBorder="1" applyAlignment="1">
      <alignment horizontal="center" vertical="center" textRotation="90"/>
    </xf>
    <xf numFmtId="0" fontId="2" fillId="0" borderId="1" xfId="0" applyFont="1" applyFill="1" applyBorder="1" applyAlignment="1">
      <alignment horizontal="center" vertical="center" textRotation="90"/>
    </xf>
    <xf numFmtId="2" fontId="9" fillId="0" borderId="0" xfId="0" applyNumberFormat="1" applyFont="1" applyFill="1" applyBorder="1" applyAlignment="1">
      <alignment horizontal="center" vertical="center"/>
    </xf>
    <xf numFmtId="15" fontId="9" fillId="0" borderId="0" xfId="0" applyNumberFormat="1" applyFont="1" applyFill="1" applyBorder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39" fontId="17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2" fontId="17" fillId="0" borderId="4" xfId="0" applyNumberFormat="1" applyFont="1" applyFill="1" applyBorder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39" fontId="17" fillId="0" borderId="5" xfId="0" applyNumberFormat="1" applyFont="1" applyFill="1" applyBorder="1" applyAlignment="1">
      <alignment horizontal="center" vertical="center"/>
    </xf>
    <xf numFmtId="39" fontId="17" fillId="0" borderId="3" xfId="0" applyNumberFormat="1" applyFont="1" applyFill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2" fillId="0" borderId="0" xfId="0" applyFont="1" applyBorder="1" applyAlignment="1">
      <alignment horizontal="left" vertical="top" wrapText="1"/>
    </xf>
    <xf numFmtId="0" fontId="52" fillId="0" borderId="4" xfId="0" applyFont="1" applyBorder="1" applyAlignment="1">
      <alignment horizontal="left" vertical="top" wrapText="1"/>
    </xf>
    <xf numFmtId="0" fontId="52" fillId="0" borderId="4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right" vertical="top" wrapText="1"/>
    </xf>
    <xf numFmtId="0" fontId="52" fillId="0" borderId="0" xfId="0" quotePrefix="1" applyFont="1" applyBorder="1" applyAlignment="1">
      <alignment horizontal="left" vertical="top" wrapText="1"/>
    </xf>
    <xf numFmtId="0" fontId="51" fillId="0" borderId="0" xfId="0" applyFont="1" applyAlignment="1">
      <alignment horizontal="center"/>
    </xf>
    <xf numFmtId="0" fontId="52" fillId="0" borderId="4" xfId="0" applyFont="1" applyBorder="1" applyAlignment="1">
      <alignment horizontal="center" vertical="center"/>
    </xf>
    <xf numFmtId="0" fontId="52" fillId="0" borderId="47" xfId="0" applyFont="1" applyBorder="1" applyAlignment="1">
      <alignment horizontal="center" vertical="center" wrapText="1"/>
    </xf>
    <xf numFmtId="0" fontId="52" fillId="0" borderId="9" xfId="0" applyFont="1" applyBorder="1" applyAlignment="1">
      <alignment horizontal="center" vertical="center" wrapText="1"/>
    </xf>
    <xf numFmtId="0" fontId="52" fillId="0" borderId="10" xfId="0" applyFont="1" applyBorder="1" applyAlignment="1">
      <alignment horizontal="center" vertical="center" wrapText="1"/>
    </xf>
    <xf numFmtId="0" fontId="52" fillId="0" borderId="12" xfId="0" applyFont="1" applyBorder="1" applyAlignment="1">
      <alignment horizontal="center" vertical="center" wrapText="1"/>
    </xf>
    <xf numFmtId="0" fontId="52" fillId="0" borderId="0" xfId="0" applyFont="1" applyBorder="1" applyAlignment="1">
      <alignment horizontal="center" vertical="center" wrapText="1"/>
    </xf>
    <xf numFmtId="0" fontId="52" fillId="0" borderId="19" xfId="0" applyFont="1" applyBorder="1" applyAlignment="1">
      <alignment horizontal="center" vertical="center" wrapText="1"/>
    </xf>
    <xf numFmtId="0" fontId="52" fillId="0" borderId="13" xfId="0" applyFont="1" applyBorder="1" applyAlignment="1">
      <alignment horizontal="center" vertical="center" wrapText="1"/>
    </xf>
    <xf numFmtId="0" fontId="52" fillId="0" borderId="11" xfId="0" applyFont="1" applyBorder="1" applyAlignment="1">
      <alignment horizontal="center" vertical="center" wrapText="1"/>
    </xf>
    <xf numFmtId="0" fontId="52" fillId="0" borderId="14" xfId="0" applyFont="1" applyBorder="1" applyAlignment="1">
      <alignment horizontal="center" vertical="center" wrapText="1"/>
    </xf>
    <xf numFmtId="0" fontId="52" fillId="0" borderId="5" xfId="0" applyFont="1" applyBorder="1" applyAlignment="1">
      <alignment horizontal="center" vertical="center" wrapText="1"/>
    </xf>
    <xf numFmtId="0" fontId="52" fillId="0" borderId="46" xfId="0" applyFont="1" applyBorder="1" applyAlignment="1">
      <alignment horizontal="center" vertical="center" wrapText="1"/>
    </xf>
    <xf numFmtId="0" fontId="52" fillId="0" borderId="3" xfId="0" applyFont="1" applyBorder="1" applyAlignment="1">
      <alignment horizontal="center" vertical="center" wrapText="1"/>
    </xf>
    <xf numFmtId="0" fontId="52" fillId="0" borderId="4" xfId="0" applyFont="1" applyBorder="1" applyAlignment="1">
      <alignment horizontal="center"/>
    </xf>
    <xf numFmtId="0" fontId="52" fillId="0" borderId="0" xfId="0" applyFont="1" applyBorder="1" applyAlignment="1">
      <alignment horizontal="center" vertical="top" wrapText="1"/>
    </xf>
    <xf numFmtId="0" fontId="53" fillId="0" borderId="4" xfId="0" applyFont="1" applyBorder="1" applyAlignment="1">
      <alignment horizontal="center"/>
    </xf>
    <xf numFmtId="0" fontId="53" fillId="0" borderId="5" xfId="0" applyFont="1" applyBorder="1" applyAlignment="1">
      <alignment horizontal="left"/>
    </xf>
    <xf numFmtId="0" fontId="53" fillId="0" borderId="46" xfId="0" applyFont="1" applyBorder="1" applyAlignment="1">
      <alignment horizontal="left"/>
    </xf>
    <xf numFmtId="0" fontId="53" fillId="0" borderId="3" xfId="0" applyFont="1" applyBorder="1" applyAlignment="1">
      <alignment horizontal="left"/>
    </xf>
    <xf numFmtId="0" fontId="53" fillId="0" borderId="4" xfId="0" applyFont="1" applyBorder="1" applyAlignment="1">
      <alignment horizontal="center" vertical="center"/>
    </xf>
    <xf numFmtId="0" fontId="53" fillId="0" borderId="50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 wrapText="1"/>
    </xf>
    <xf numFmtId="166" fontId="5" fillId="0" borderId="0" xfId="0" applyNumberFormat="1" applyFont="1" applyFill="1" applyBorder="1" applyAlignment="1">
      <alignment horizontal="left"/>
    </xf>
    <xf numFmtId="166" fontId="3" fillId="0" borderId="0" xfId="0" applyNumberFormat="1" applyFont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10" fillId="0" borderId="4" xfId="0" applyFont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4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6" fillId="0" borderId="4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3" fontId="6" fillId="0" borderId="0" xfId="0" applyNumberFormat="1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/>
    </xf>
    <xf numFmtId="0" fontId="6" fillId="0" borderId="5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0" xfId="0" applyFont="1" applyAlignment="1"/>
  </cellXfs>
  <cellStyles count="4">
    <cellStyle name="Normal" xfId="0" builtinId="0"/>
    <cellStyle name="Normal 2" xfId="3" xr:uid="{00000000-0005-0000-0000-000001000000}"/>
    <cellStyle name="Normal 3 2" xfId="1" xr:uid="{00000000-0005-0000-0000-000002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47625</xdr:rowOff>
    </xdr:from>
    <xdr:to>
      <xdr:col>12</xdr:col>
      <xdr:colOff>390525</xdr:colOff>
      <xdr:row>8</xdr:row>
      <xdr:rowOff>38100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rrowheads="1"/>
        </xdr:cNvSpPr>
      </xdr:nvSpPr>
      <xdr:spPr bwMode="auto">
        <a:xfrm>
          <a:off x="9525" y="47625"/>
          <a:ext cx="6153150" cy="1285875"/>
        </a:xfrm>
        <a:prstGeom prst="wedgeRoundRectCallout">
          <a:avLst>
            <a:gd name="adj1" fmla="val -41486"/>
            <a:gd name="adj2" fmla="val 92222"/>
            <a:gd name="adj3" fmla="val 16667"/>
          </a:avLst>
        </a:prstGeom>
        <a:solidFill>
          <a:srgbClr val="FF6600"/>
        </a:solidFill>
        <a:ln w="76200" cmpd="tri">
          <a:solidFill>
            <a:srgbClr val="00FF00"/>
          </a:solidFill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en-US" sz="1600" b="1" i="0" strike="noStrike">
              <a:solidFill>
                <a:srgbClr val="0000FF"/>
              </a:solidFill>
              <a:latin typeface="Arial"/>
              <a:cs typeface="Arial"/>
            </a:rPr>
            <a:t>JANGAN MELAKUKAN PERUBAHAN DAN MEMASUKAN DATA APAPUN PADA SETIAP SEL DI LEMBAR INI</a:t>
          </a:r>
          <a:endParaRPr lang="en-US" sz="2200" b="0" i="0" strike="noStrike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2200" b="0" i="0" strike="noStrike">
              <a:solidFill>
                <a:srgbClr val="00FF00"/>
              </a:solidFill>
              <a:latin typeface="Arial"/>
              <a:cs typeface="Arial"/>
            </a:rPr>
            <a:t>DATA INI BERSUMBER DARI DATA 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333375</xdr:colOff>
          <xdr:row>14</xdr:row>
          <xdr:rowOff>85725</xdr:rowOff>
        </xdr:from>
        <xdr:to>
          <xdr:col>3</xdr:col>
          <xdr:colOff>876300</xdr:colOff>
          <xdr:row>14</xdr:row>
          <xdr:rowOff>85725</xdr:rowOff>
        </xdr:to>
        <xdr:sp macro="" textlink="">
          <xdr:nvSpPr>
            <xdr:cNvPr id="1040" name="Object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228600</xdr:colOff>
          <xdr:row>34</xdr:row>
          <xdr:rowOff>38100</xdr:rowOff>
        </xdr:from>
        <xdr:to>
          <xdr:col>3</xdr:col>
          <xdr:colOff>66675</xdr:colOff>
          <xdr:row>34</xdr:row>
          <xdr:rowOff>409575</xdr:rowOff>
        </xdr:to>
        <xdr:sp macro="" textlink="">
          <xdr:nvSpPr>
            <xdr:cNvPr id="1098" name="Object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00FF00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200</xdr:row>
      <xdr:rowOff>2899</xdr:rowOff>
    </xdr:from>
    <xdr:to>
      <xdr:col>2</xdr:col>
      <xdr:colOff>1352550</xdr:colOff>
      <xdr:row>200</xdr:row>
      <xdr:rowOff>2899</xdr:rowOff>
    </xdr:to>
    <xdr:sp macro="" textlink="">
      <xdr:nvSpPr>
        <xdr:cNvPr id="2" name="Text Box 3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47625" y="66287374"/>
          <a:ext cx="1590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Kepala MTsN Lembah Gumanti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Dra. NURHAYATI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150 259 664 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0</xdr:colOff>
      <xdr:row>200</xdr:row>
      <xdr:rowOff>2899</xdr:rowOff>
    </xdr:from>
    <xdr:to>
      <xdr:col>10</xdr:col>
      <xdr:colOff>276225</xdr:colOff>
      <xdr:row>200</xdr:row>
      <xdr:rowOff>2899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>
          <a:spLocks noChangeArrowheads="1"/>
        </xdr:cNvSpPr>
      </xdr:nvSpPr>
      <xdr:spPr bwMode="auto">
        <a:xfrm>
          <a:off x="4248150" y="66287374"/>
          <a:ext cx="1209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Alahan Panjang,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Guru Mata Pelajaran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47625</xdr:colOff>
      <xdr:row>199</xdr:row>
      <xdr:rowOff>206651</xdr:rowOff>
    </xdr:from>
    <xdr:to>
      <xdr:col>2</xdr:col>
      <xdr:colOff>1352550</xdr:colOff>
      <xdr:row>199</xdr:row>
      <xdr:rowOff>206651</xdr:rowOff>
    </xdr:to>
    <xdr:sp macro="" textlink="">
      <xdr:nvSpPr>
        <xdr:cNvPr id="4" name="Text Box 34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>
          <a:spLocks noChangeArrowheads="1"/>
        </xdr:cNvSpPr>
      </xdr:nvSpPr>
      <xdr:spPr bwMode="auto">
        <a:xfrm>
          <a:off x="47625" y="66281576"/>
          <a:ext cx="1590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Kepala MTsN Lembah Gumanti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Dra. NURHAYATI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150 259 664 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1619250</xdr:colOff>
      <xdr:row>199</xdr:row>
      <xdr:rowOff>206651</xdr:rowOff>
    </xdr:from>
    <xdr:to>
      <xdr:col>8</xdr:col>
      <xdr:colOff>0</xdr:colOff>
      <xdr:row>199</xdr:row>
      <xdr:rowOff>206651</xdr:rowOff>
    </xdr:to>
    <xdr:sp macro="" textlink="">
      <xdr:nvSpPr>
        <xdr:cNvPr id="5" name="Text Box 3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>
          <a:spLocks noChangeArrowheads="1"/>
        </xdr:cNvSpPr>
      </xdr:nvSpPr>
      <xdr:spPr bwMode="auto">
        <a:xfrm>
          <a:off x="1905000" y="66281576"/>
          <a:ext cx="234315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Wa.Ka. Kurikulum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…………………………….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8</xdr:col>
      <xdr:colOff>0</xdr:colOff>
      <xdr:row>199</xdr:row>
      <xdr:rowOff>206651</xdr:rowOff>
    </xdr:from>
    <xdr:to>
      <xdr:col>10</xdr:col>
      <xdr:colOff>276225</xdr:colOff>
      <xdr:row>199</xdr:row>
      <xdr:rowOff>206651</xdr:rowOff>
    </xdr:to>
    <xdr:sp macro="" textlink="">
      <xdr:nvSpPr>
        <xdr:cNvPr id="6" name="Text Box 36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>
          <a:spLocks noChangeArrowheads="1"/>
        </xdr:cNvSpPr>
      </xdr:nvSpPr>
      <xdr:spPr bwMode="auto">
        <a:xfrm>
          <a:off x="4248150" y="66281576"/>
          <a:ext cx="12096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Alahan Panjang,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Guru Mata Pelajaran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………………………………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6"/>
  <sheetViews>
    <sheetView topLeftCell="A19" zoomScaleNormal="100" workbookViewId="0">
      <selection activeCell="D66" sqref="D66"/>
    </sheetView>
  </sheetViews>
  <sheetFormatPr defaultRowHeight="12.75"/>
  <cols>
    <col min="1" max="1" width="9.140625" style="2"/>
    <col min="2" max="2" width="3.7109375" style="2" customWidth="1"/>
    <col min="3" max="3" width="36.85546875" style="2" customWidth="1"/>
    <col min="4" max="13" width="4.7109375" style="2" customWidth="1"/>
    <col min="14" max="14" width="6.7109375" style="2" customWidth="1"/>
    <col min="15" max="16384" width="9.140625" style="2"/>
  </cols>
  <sheetData>
    <row r="1" spans="2:25" s="1" customFormat="1" ht="20.100000000000001" customHeight="1">
      <c r="B1" s="312" t="s">
        <v>32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4"/>
    </row>
    <row r="2" spans="2:25" s="12" customFormat="1" ht="3.95" customHeight="1" thickBot="1"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7"/>
    </row>
    <row r="3" spans="2:25" s="1" customFormat="1" ht="8.1" customHeight="1">
      <c r="B3" s="297" t="s">
        <v>12</v>
      </c>
      <c r="C3" s="5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2:25" s="1" customFormat="1" ht="14.1" customHeight="1">
      <c r="B4" s="298"/>
      <c r="C4" s="130" t="s">
        <v>15</v>
      </c>
      <c r="D4" s="131" t="s">
        <v>13</v>
      </c>
      <c r="E4" s="137" t="s">
        <v>102</v>
      </c>
      <c r="F4" s="39"/>
      <c r="G4" s="39"/>
      <c r="H4" s="39"/>
      <c r="I4" s="39"/>
      <c r="J4" s="39"/>
      <c r="K4" s="39"/>
      <c r="L4" s="39"/>
      <c r="M4" s="39"/>
      <c r="N4" s="39"/>
      <c r="O4" s="132"/>
    </row>
    <row r="5" spans="2:25" s="1" customFormat="1" ht="14.1" customHeight="1">
      <c r="B5" s="298"/>
      <c r="C5" s="133" t="s">
        <v>16</v>
      </c>
      <c r="D5" s="134" t="s">
        <v>13</v>
      </c>
      <c r="E5" s="39" t="s">
        <v>285</v>
      </c>
      <c r="F5" s="39"/>
      <c r="G5" s="39"/>
      <c r="H5" s="39"/>
      <c r="I5" s="39"/>
      <c r="J5" s="39"/>
      <c r="K5" s="39"/>
      <c r="L5" s="39"/>
      <c r="M5" s="39"/>
      <c r="N5" s="39"/>
      <c r="O5" s="132"/>
    </row>
    <row r="6" spans="2:25" s="1" customFormat="1" ht="14.1" customHeight="1">
      <c r="B6" s="298"/>
      <c r="C6" s="133" t="s">
        <v>230</v>
      </c>
      <c r="D6" s="134" t="s">
        <v>13</v>
      </c>
      <c r="E6" s="39" t="s">
        <v>287</v>
      </c>
      <c r="F6" s="39"/>
      <c r="G6" s="39"/>
      <c r="H6" s="39"/>
      <c r="I6" s="39"/>
      <c r="J6" s="39"/>
      <c r="K6" s="39"/>
      <c r="L6" s="39"/>
      <c r="M6" s="39"/>
      <c r="N6" s="39"/>
      <c r="O6" s="132"/>
    </row>
    <row r="7" spans="2:25" s="1" customFormat="1" ht="14.1" customHeight="1">
      <c r="B7" s="298"/>
      <c r="C7" s="133" t="s">
        <v>17</v>
      </c>
      <c r="D7" s="134" t="s">
        <v>13</v>
      </c>
      <c r="E7" s="39" t="s">
        <v>231</v>
      </c>
      <c r="F7" s="39"/>
      <c r="G7" s="39"/>
      <c r="H7" s="39"/>
      <c r="I7" s="39"/>
      <c r="J7" s="39"/>
      <c r="K7" s="39"/>
      <c r="L7" s="39"/>
      <c r="M7" s="39"/>
      <c r="N7" s="39"/>
      <c r="O7" s="132"/>
    </row>
    <row r="8" spans="2:25" s="1" customFormat="1" ht="14.1" customHeight="1">
      <c r="B8" s="298"/>
      <c r="C8" s="133" t="s">
        <v>52</v>
      </c>
      <c r="D8" s="134" t="s">
        <v>13</v>
      </c>
      <c r="E8" s="207" t="s">
        <v>286</v>
      </c>
      <c r="F8" s="208"/>
      <c r="G8" s="208"/>
      <c r="H8" s="208"/>
      <c r="I8" s="208"/>
      <c r="J8" s="208"/>
      <c r="K8" s="208"/>
      <c r="L8" s="208"/>
      <c r="M8" s="208"/>
      <c r="N8" s="208"/>
      <c r="O8" s="209"/>
      <c r="P8" s="207"/>
      <c r="Q8" s="207"/>
    </row>
    <row r="9" spans="2:25" s="1" customFormat="1" ht="14.1" customHeight="1">
      <c r="B9" s="298"/>
      <c r="C9" s="133" t="s">
        <v>14</v>
      </c>
      <c r="D9" s="134" t="s">
        <v>13</v>
      </c>
      <c r="E9" s="135" t="s">
        <v>103</v>
      </c>
      <c r="F9" s="39"/>
      <c r="G9" s="39"/>
      <c r="H9" s="39"/>
      <c r="I9" s="39"/>
      <c r="J9" s="39"/>
      <c r="K9" s="39"/>
      <c r="L9" s="39"/>
      <c r="M9" s="39"/>
      <c r="N9" s="39"/>
      <c r="O9" s="132"/>
    </row>
    <row r="10" spans="2:25" s="1" customFormat="1" ht="13.5" customHeight="1">
      <c r="B10" s="298"/>
      <c r="C10" s="133" t="s">
        <v>72</v>
      </c>
      <c r="D10" s="134" t="s">
        <v>13</v>
      </c>
      <c r="E10" s="309">
        <v>43364</v>
      </c>
      <c r="F10" s="309"/>
      <c r="G10" s="309"/>
      <c r="H10" s="309"/>
      <c r="I10" s="39"/>
      <c r="J10" s="39"/>
      <c r="K10" s="39"/>
      <c r="L10" s="39"/>
      <c r="M10" s="39"/>
      <c r="N10" s="39"/>
      <c r="O10" s="132"/>
    </row>
    <row r="11" spans="2:25" s="1" customFormat="1" ht="14.1" customHeight="1">
      <c r="B11" s="298"/>
      <c r="C11" s="133" t="s">
        <v>101</v>
      </c>
      <c r="D11" s="134" t="s">
        <v>13</v>
      </c>
      <c r="E11" s="135">
        <v>75</v>
      </c>
      <c r="F11" s="39"/>
      <c r="G11" s="39"/>
      <c r="H11" s="39"/>
      <c r="I11" s="39"/>
      <c r="J11" s="39"/>
      <c r="K11" s="39"/>
      <c r="L11" s="39"/>
      <c r="M11" s="39"/>
      <c r="N11" s="39"/>
      <c r="O11" s="132"/>
    </row>
    <row r="12" spans="2:25" s="1" customFormat="1" ht="14.1" customHeight="1">
      <c r="B12" s="298"/>
      <c r="C12" s="133" t="s">
        <v>126</v>
      </c>
      <c r="D12" s="134" t="s">
        <v>13</v>
      </c>
      <c r="E12" s="135" t="s">
        <v>127</v>
      </c>
      <c r="F12" s="39"/>
      <c r="G12" s="39"/>
      <c r="H12" s="39"/>
      <c r="I12" s="39"/>
      <c r="J12" s="39"/>
      <c r="K12" s="39"/>
      <c r="L12" s="39"/>
      <c r="M12" s="39"/>
      <c r="N12" s="39"/>
      <c r="O12" s="132"/>
    </row>
    <row r="13" spans="2:25" s="1" customFormat="1" ht="14.1" customHeight="1">
      <c r="B13" s="298"/>
      <c r="C13" s="136" t="s">
        <v>53</v>
      </c>
      <c r="D13" s="19" t="s">
        <v>13</v>
      </c>
      <c r="E13" s="215" t="s">
        <v>128</v>
      </c>
      <c r="F13" s="203"/>
      <c r="G13" s="203"/>
      <c r="H13" s="203"/>
      <c r="I13" s="203"/>
      <c r="J13" s="160"/>
      <c r="K13" s="160"/>
      <c r="L13" s="160"/>
      <c r="M13" s="160"/>
      <c r="N13" s="160"/>
      <c r="O13" s="161"/>
    </row>
    <row r="14" spans="2:25" s="1" customFormat="1" ht="8.1" customHeight="1" thickBot="1">
      <c r="B14" s="299"/>
      <c r="C14" s="30"/>
      <c r="D14" s="31"/>
      <c r="E14" s="109"/>
      <c r="F14" s="30"/>
      <c r="G14" s="30"/>
      <c r="H14" s="30"/>
      <c r="I14" s="30"/>
      <c r="J14" s="30"/>
      <c r="K14" s="30"/>
      <c r="L14" s="30"/>
      <c r="M14" s="30"/>
      <c r="N14" s="30"/>
      <c r="O14" s="32"/>
      <c r="X14" s="2"/>
      <c r="Y14" s="2"/>
    </row>
    <row r="15" spans="2:25" ht="13.5" thickBot="1"/>
    <row r="16" spans="2:25" ht="16.5" thickBot="1">
      <c r="B16" s="320" t="s">
        <v>51</v>
      </c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2"/>
    </row>
    <row r="17" spans="2:15">
      <c r="B17" s="325" t="s">
        <v>49</v>
      </c>
      <c r="C17" s="326"/>
      <c r="D17" s="323" t="s">
        <v>7</v>
      </c>
      <c r="E17" s="305"/>
      <c r="F17" s="305"/>
      <c r="G17" s="305"/>
      <c r="H17" s="305"/>
      <c r="I17" s="305"/>
      <c r="J17" s="305"/>
      <c r="K17" s="305"/>
      <c r="L17" s="305"/>
      <c r="M17" s="324"/>
      <c r="N17" s="4" t="s">
        <v>8</v>
      </c>
      <c r="O17" s="4" t="s">
        <v>9</v>
      </c>
    </row>
    <row r="18" spans="2:15" ht="13.5" thickBot="1">
      <c r="B18" s="327"/>
      <c r="C18" s="328"/>
      <c r="D18" s="80">
        <v>1</v>
      </c>
      <c r="E18" s="80">
        <v>2</v>
      </c>
      <c r="F18" s="80">
        <v>3</v>
      </c>
      <c r="G18" s="80">
        <v>4</v>
      </c>
      <c r="H18" s="80">
        <v>5</v>
      </c>
      <c r="I18" s="80">
        <v>6</v>
      </c>
      <c r="J18" s="80">
        <v>7</v>
      </c>
      <c r="K18" s="80">
        <v>8</v>
      </c>
      <c r="L18" s="80">
        <v>9</v>
      </c>
      <c r="M18" s="80">
        <v>10</v>
      </c>
      <c r="N18" s="8" t="s">
        <v>55</v>
      </c>
      <c r="O18" s="8" t="s">
        <v>10</v>
      </c>
    </row>
    <row r="19" spans="2:15" ht="18.75" customHeight="1">
      <c r="B19" s="9"/>
      <c r="C19" s="10" t="s">
        <v>50</v>
      </c>
      <c r="D19" s="187">
        <v>5</v>
      </c>
      <c r="E19" s="187">
        <v>5</v>
      </c>
      <c r="F19" s="187">
        <v>5</v>
      </c>
      <c r="G19" s="187">
        <v>5</v>
      </c>
      <c r="H19" s="187">
        <v>5</v>
      </c>
      <c r="I19" s="187">
        <v>5</v>
      </c>
      <c r="J19" s="187">
        <v>5</v>
      </c>
      <c r="K19" s="187">
        <v>5</v>
      </c>
      <c r="L19" s="187"/>
      <c r="M19" s="187"/>
      <c r="N19" s="188">
        <f>IF(SUM(D19:M19)=0,"",SUM(D19:M19))</f>
        <v>40</v>
      </c>
      <c r="O19" s="200">
        <v>100</v>
      </c>
    </row>
    <row r="21" spans="2:15">
      <c r="B21" s="303" t="s">
        <v>0</v>
      </c>
      <c r="C21" s="303" t="s">
        <v>1</v>
      </c>
      <c r="D21" s="308" t="s">
        <v>7</v>
      </c>
      <c r="E21" s="308"/>
      <c r="F21" s="308"/>
      <c r="G21" s="308"/>
      <c r="H21" s="308"/>
      <c r="I21" s="308"/>
      <c r="J21" s="308"/>
      <c r="K21" s="308"/>
      <c r="L21" s="308"/>
      <c r="M21" s="301"/>
      <c r="N21" s="318" t="s">
        <v>8</v>
      </c>
      <c r="O21" s="318" t="s">
        <v>10</v>
      </c>
    </row>
    <row r="22" spans="2:15">
      <c r="B22" s="304"/>
      <c r="C22" s="304"/>
      <c r="D22" s="283" t="s">
        <v>277</v>
      </c>
      <c r="E22" s="283" t="s">
        <v>278</v>
      </c>
      <c r="F22" s="283" t="s">
        <v>279</v>
      </c>
      <c r="G22" s="283" t="s">
        <v>280</v>
      </c>
      <c r="H22" s="283" t="s">
        <v>281</v>
      </c>
      <c r="I22" s="283" t="s">
        <v>282</v>
      </c>
      <c r="J22" s="283" t="s">
        <v>283</v>
      </c>
      <c r="K22" s="283" t="s">
        <v>284</v>
      </c>
      <c r="L22" s="6"/>
      <c r="M22" s="7"/>
      <c r="N22" s="319"/>
      <c r="O22" s="319"/>
    </row>
    <row r="23" spans="2:15">
      <c r="B23" s="305"/>
      <c r="C23" s="305"/>
      <c r="D23" s="301" t="s">
        <v>54</v>
      </c>
      <c r="E23" s="302"/>
      <c r="F23" s="302"/>
      <c r="G23" s="302"/>
      <c r="H23" s="302"/>
      <c r="I23" s="302"/>
      <c r="J23" s="302"/>
      <c r="K23" s="302"/>
      <c r="L23" s="302"/>
      <c r="M23" s="302"/>
      <c r="N23" s="3" t="s">
        <v>56</v>
      </c>
      <c r="O23" s="3" t="s">
        <v>11</v>
      </c>
    </row>
    <row r="24" spans="2:15" s="11" customFormat="1" ht="12.75" customHeight="1">
      <c r="B24" s="193">
        <v>1</v>
      </c>
      <c r="C24" s="291" t="s">
        <v>242</v>
      </c>
      <c r="D24" s="194">
        <v>5</v>
      </c>
      <c r="E24" s="194">
        <v>0</v>
      </c>
      <c r="F24" s="194">
        <v>0</v>
      </c>
      <c r="G24" s="194">
        <v>0</v>
      </c>
      <c r="H24" s="194">
        <v>0</v>
      </c>
      <c r="I24" s="194">
        <v>0</v>
      </c>
      <c r="J24" s="194">
        <v>5</v>
      </c>
      <c r="K24" s="194">
        <v>0</v>
      </c>
      <c r="L24" s="194"/>
      <c r="M24" s="195"/>
      <c r="N24" s="189">
        <f t="shared" ref="N24:N60" si="0">IF(SUM(D24:M24)=0,"",SUM(D24:M24))</f>
        <v>10</v>
      </c>
      <c r="O24" s="190">
        <f>IF(N24="","",(N24/$N$19)*$O$19)</f>
        <v>25</v>
      </c>
    </row>
    <row r="25" spans="2:15" s="11" customFormat="1" ht="12.75" customHeight="1">
      <c r="B25" s="196">
        <v>2</v>
      </c>
      <c r="C25" s="292" t="s">
        <v>243</v>
      </c>
      <c r="D25" s="194">
        <v>5</v>
      </c>
      <c r="E25" s="194">
        <v>0</v>
      </c>
      <c r="F25" s="194">
        <v>0</v>
      </c>
      <c r="G25" s="194">
        <v>0</v>
      </c>
      <c r="H25" s="194">
        <v>0</v>
      </c>
      <c r="I25" s="194">
        <v>0</v>
      </c>
      <c r="J25" s="194">
        <v>5</v>
      </c>
      <c r="K25" s="194">
        <v>0</v>
      </c>
      <c r="L25" s="194"/>
      <c r="M25" s="195"/>
      <c r="N25" s="191">
        <f t="shared" si="0"/>
        <v>10</v>
      </c>
      <c r="O25" s="192">
        <f>IF(N25="","",(N25/$N$19)*$O$19)</f>
        <v>25</v>
      </c>
    </row>
    <row r="26" spans="2:15" s="11" customFormat="1" ht="12.75" customHeight="1">
      <c r="B26" s="196">
        <v>3</v>
      </c>
      <c r="C26" s="292" t="s">
        <v>244</v>
      </c>
      <c r="D26" s="194">
        <v>5</v>
      </c>
      <c r="E26" s="194">
        <v>5</v>
      </c>
      <c r="F26" s="194">
        <v>0</v>
      </c>
      <c r="G26" s="194">
        <v>5</v>
      </c>
      <c r="H26" s="194">
        <v>5</v>
      </c>
      <c r="I26" s="194">
        <v>5</v>
      </c>
      <c r="J26" s="194">
        <v>5</v>
      </c>
      <c r="K26" s="194">
        <v>5</v>
      </c>
      <c r="L26" s="194"/>
      <c r="M26" s="195"/>
      <c r="N26" s="191">
        <f t="shared" si="0"/>
        <v>35</v>
      </c>
      <c r="O26" s="192">
        <f t="shared" ref="O26:O60" si="1">IF(N26="","",(N26/$N$19)*$O$19)</f>
        <v>87.5</v>
      </c>
    </row>
    <row r="27" spans="2:15" s="11" customFormat="1" ht="12.75" customHeight="1">
      <c r="B27" s="196">
        <v>4</v>
      </c>
      <c r="C27" s="292" t="s">
        <v>245</v>
      </c>
      <c r="D27" s="194">
        <v>5</v>
      </c>
      <c r="E27" s="194">
        <v>0</v>
      </c>
      <c r="F27" s="194">
        <v>0</v>
      </c>
      <c r="G27" s="194">
        <v>5</v>
      </c>
      <c r="H27" s="194">
        <v>5</v>
      </c>
      <c r="I27" s="194">
        <v>5</v>
      </c>
      <c r="J27" s="194">
        <v>5</v>
      </c>
      <c r="K27" s="194">
        <v>0</v>
      </c>
      <c r="L27" s="194"/>
      <c r="M27" s="195"/>
      <c r="N27" s="191">
        <f t="shared" si="0"/>
        <v>25</v>
      </c>
      <c r="O27" s="192">
        <f t="shared" si="1"/>
        <v>62.5</v>
      </c>
    </row>
    <row r="28" spans="2:15" s="11" customFormat="1" ht="12.75" customHeight="1">
      <c r="B28" s="196">
        <v>5</v>
      </c>
      <c r="C28" s="292" t="s">
        <v>246</v>
      </c>
      <c r="D28" s="194">
        <v>0</v>
      </c>
      <c r="E28" s="194">
        <v>5</v>
      </c>
      <c r="F28" s="194">
        <v>0</v>
      </c>
      <c r="G28" s="194">
        <v>0</v>
      </c>
      <c r="H28" s="194">
        <v>5</v>
      </c>
      <c r="I28" s="194">
        <v>0</v>
      </c>
      <c r="J28" s="194">
        <v>5</v>
      </c>
      <c r="K28" s="194">
        <v>0</v>
      </c>
      <c r="L28" s="194"/>
      <c r="M28" s="195"/>
      <c r="N28" s="191">
        <f>IF(SUM(D28:M28)=0,"",SUM(D28:M28))</f>
        <v>15</v>
      </c>
      <c r="O28" s="192">
        <f t="shared" si="1"/>
        <v>37.5</v>
      </c>
    </row>
    <row r="29" spans="2:15" s="11" customFormat="1" ht="12.75" customHeight="1">
      <c r="B29" s="196">
        <v>6</v>
      </c>
      <c r="C29" s="292" t="s">
        <v>247</v>
      </c>
      <c r="D29" s="194">
        <v>5</v>
      </c>
      <c r="E29" s="194">
        <v>0</v>
      </c>
      <c r="F29" s="194">
        <v>5</v>
      </c>
      <c r="G29" s="194">
        <v>0</v>
      </c>
      <c r="H29" s="194">
        <v>0</v>
      </c>
      <c r="I29" s="194">
        <v>0</v>
      </c>
      <c r="J29" s="194">
        <v>0</v>
      </c>
      <c r="K29" s="194">
        <v>5</v>
      </c>
      <c r="L29" s="194"/>
      <c r="M29" s="195"/>
      <c r="N29" s="191">
        <f>IF(SUM(D29:M29)=0,"",SUM(D29:M29))</f>
        <v>15</v>
      </c>
      <c r="O29" s="192">
        <f t="shared" si="1"/>
        <v>37.5</v>
      </c>
    </row>
    <row r="30" spans="2:15" s="11" customFormat="1" ht="12.75" customHeight="1">
      <c r="B30" s="196">
        <v>7</v>
      </c>
      <c r="C30" s="292" t="s">
        <v>248</v>
      </c>
      <c r="D30" s="194">
        <v>0</v>
      </c>
      <c r="E30" s="194">
        <v>0</v>
      </c>
      <c r="F30" s="194">
        <v>0</v>
      </c>
      <c r="G30" s="194">
        <v>0</v>
      </c>
      <c r="H30" s="194">
        <v>0</v>
      </c>
      <c r="I30" s="194">
        <v>0</v>
      </c>
      <c r="J30" s="194">
        <v>0</v>
      </c>
      <c r="K30" s="194">
        <v>0</v>
      </c>
      <c r="L30" s="194"/>
      <c r="M30" s="195"/>
      <c r="N30" s="191" t="str">
        <f>IF(SUM(D30:M30)=0,"",SUM(D30:M30))</f>
        <v/>
      </c>
      <c r="O30" s="192" t="str">
        <f t="shared" si="1"/>
        <v/>
      </c>
    </row>
    <row r="31" spans="2:15" s="11" customFormat="1" ht="12.75" customHeight="1">
      <c r="B31" s="196">
        <v>8</v>
      </c>
      <c r="C31" s="292" t="s">
        <v>249</v>
      </c>
      <c r="D31" s="194">
        <v>0</v>
      </c>
      <c r="E31" s="194">
        <v>0</v>
      </c>
      <c r="F31" s="194">
        <v>0</v>
      </c>
      <c r="G31" s="194">
        <v>0</v>
      </c>
      <c r="H31" s="194">
        <v>0</v>
      </c>
      <c r="I31" s="194">
        <v>0</v>
      </c>
      <c r="J31" s="194">
        <v>0</v>
      </c>
      <c r="K31" s="194">
        <v>0</v>
      </c>
      <c r="L31" s="194"/>
      <c r="M31" s="195"/>
      <c r="N31" s="191" t="str">
        <f>IF(SUM(D31:M31)=0,"",SUM(D31:M31))</f>
        <v/>
      </c>
      <c r="O31" s="192" t="str">
        <f t="shared" si="1"/>
        <v/>
      </c>
    </row>
    <row r="32" spans="2:15" s="11" customFormat="1" ht="12.75" customHeight="1">
      <c r="B32" s="196">
        <v>9</v>
      </c>
      <c r="C32" s="292" t="s">
        <v>250</v>
      </c>
      <c r="D32" s="194">
        <v>5</v>
      </c>
      <c r="E32" s="194">
        <v>0</v>
      </c>
      <c r="F32" s="194">
        <v>0</v>
      </c>
      <c r="G32" s="194">
        <v>0</v>
      </c>
      <c r="H32" s="194">
        <v>0</v>
      </c>
      <c r="I32" s="194">
        <v>0</v>
      </c>
      <c r="J32" s="194">
        <v>0</v>
      </c>
      <c r="K32" s="194">
        <v>0</v>
      </c>
      <c r="L32" s="194"/>
      <c r="M32" s="195"/>
      <c r="N32" s="191">
        <f t="shared" si="0"/>
        <v>5</v>
      </c>
      <c r="O32" s="192">
        <f t="shared" si="1"/>
        <v>12.5</v>
      </c>
    </row>
    <row r="33" spans="2:15" s="11" customFormat="1" ht="12.75" customHeight="1">
      <c r="B33" s="196">
        <v>10</v>
      </c>
      <c r="C33" s="292" t="s">
        <v>251</v>
      </c>
      <c r="D33" s="194">
        <v>5</v>
      </c>
      <c r="E33" s="194">
        <v>5</v>
      </c>
      <c r="F33" s="194">
        <v>5</v>
      </c>
      <c r="G33" s="194">
        <v>0</v>
      </c>
      <c r="H33" s="194">
        <v>5</v>
      </c>
      <c r="I33" s="194">
        <v>0</v>
      </c>
      <c r="J33" s="194">
        <v>5</v>
      </c>
      <c r="K33" s="194">
        <v>0</v>
      </c>
      <c r="L33" s="194"/>
      <c r="M33" s="195"/>
      <c r="N33" s="191">
        <f t="shared" si="0"/>
        <v>25</v>
      </c>
      <c r="O33" s="192">
        <f t="shared" si="1"/>
        <v>62.5</v>
      </c>
    </row>
    <row r="34" spans="2:15" s="11" customFormat="1" ht="12.75" customHeight="1">
      <c r="B34" s="196">
        <v>11</v>
      </c>
      <c r="C34" s="292" t="s">
        <v>252</v>
      </c>
      <c r="D34" s="194">
        <v>5</v>
      </c>
      <c r="E34" s="194">
        <v>5</v>
      </c>
      <c r="F34" s="194">
        <v>5</v>
      </c>
      <c r="G34" s="194">
        <v>0</v>
      </c>
      <c r="H34" s="194">
        <v>5</v>
      </c>
      <c r="I34" s="194">
        <v>5</v>
      </c>
      <c r="J34" s="194">
        <v>5</v>
      </c>
      <c r="K34" s="194">
        <v>5</v>
      </c>
      <c r="L34" s="194"/>
      <c r="M34" s="195"/>
      <c r="N34" s="191">
        <f t="shared" si="0"/>
        <v>35</v>
      </c>
      <c r="O34" s="192">
        <f t="shared" si="1"/>
        <v>87.5</v>
      </c>
    </row>
    <row r="35" spans="2:15" s="11" customFormat="1" ht="12.75" customHeight="1">
      <c r="B35" s="196">
        <v>12</v>
      </c>
      <c r="C35" s="293" t="s">
        <v>253</v>
      </c>
      <c r="D35" s="194">
        <v>0</v>
      </c>
      <c r="E35" s="194">
        <v>5</v>
      </c>
      <c r="F35" s="194">
        <v>0</v>
      </c>
      <c r="G35" s="194">
        <v>5</v>
      </c>
      <c r="H35" s="194">
        <v>0</v>
      </c>
      <c r="I35" s="194">
        <v>0</v>
      </c>
      <c r="J35" s="194">
        <v>5</v>
      </c>
      <c r="K35" s="194">
        <v>0</v>
      </c>
      <c r="L35" s="194"/>
      <c r="M35" s="195"/>
      <c r="N35" s="191">
        <f t="shared" si="0"/>
        <v>15</v>
      </c>
      <c r="O35" s="192">
        <f t="shared" si="1"/>
        <v>37.5</v>
      </c>
    </row>
    <row r="36" spans="2:15" s="11" customFormat="1" ht="12.75" customHeight="1">
      <c r="B36" s="196">
        <v>13</v>
      </c>
      <c r="C36" s="294" t="s">
        <v>254</v>
      </c>
      <c r="D36" s="194">
        <v>0</v>
      </c>
      <c r="E36" s="194">
        <v>0</v>
      </c>
      <c r="F36" s="194">
        <v>0</v>
      </c>
      <c r="G36" s="194">
        <v>0</v>
      </c>
      <c r="H36" s="194">
        <v>0</v>
      </c>
      <c r="I36" s="194">
        <v>0</v>
      </c>
      <c r="J36" s="194">
        <v>5</v>
      </c>
      <c r="K36" s="194">
        <v>0</v>
      </c>
      <c r="L36" s="194"/>
      <c r="M36" s="195"/>
      <c r="N36" s="191">
        <f t="shared" si="0"/>
        <v>5</v>
      </c>
      <c r="O36" s="192">
        <f t="shared" si="1"/>
        <v>12.5</v>
      </c>
    </row>
    <row r="37" spans="2:15" s="11" customFormat="1" ht="12.75" customHeight="1">
      <c r="B37" s="196">
        <v>14</v>
      </c>
      <c r="C37" s="292" t="s">
        <v>255</v>
      </c>
      <c r="D37" s="194">
        <v>0</v>
      </c>
      <c r="E37" s="194">
        <v>0</v>
      </c>
      <c r="F37" s="194">
        <v>0</v>
      </c>
      <c r="G37" s="194">
        <v>0</v>
      </c>
      <c r="H37" s="194">
        <v>5</v>
      </c>
      <c r="I37" s="194">
        <v>0</v>
      </c>
      <c r="J37" s="194">
        <v>5</v>
      </c>
      <c r="K37" s="194">
        <v>0</v>
      </c>
      <c r="L37" s="194"/>
      <c r="M37" s="195"/>
      <c r="N37" s="191">
        <f t="shared" si="0"/>
        <v>10</v>
      </c>
      <c r="O37" s="192">
        <f t="shared" si="1"/>
        <v>25</v>
      </c>
    </row>
    <row r="38" spans="2:15" s="11" customFormat="1" ht="12.75" customHeight="1">
      <c r="B38" s="196">
        <v>15</v>
      </c>
      <c r="C38" s="292" t="s">
        <v>256</v>
      </c>
      <c r="D38" s="194">
        <v>0</v>
      </c>
      <c r="E38" s="194">
        <v>0</v>
      </c>
      <c r="F38" s="194">
        <v>0</v>
      </c>
      <c r="G38" s="194">
        <v>0</v>
      </c>
      <c r="H38" s="194">
        <v>0</v>
      </c>
      <c r="I38" s="194">
        <v>0</v>
      </c>
      <c r="J38" s="194">
        <v>0</v>
      </c>
      <c r="K38" s="194">
        <v>0</v>
      </c>
      <c r="L38" s="194"/>
      <c r="M38" s="195"/>
      <c r="N38" s="191" t="str">
        <f t="shared" si="0"/>
        <v/>
      </c>
      <c r="O38" s="192" t="str">
        <f t="shared" si="1"/>
        <v/>
      </c>
    </row>
    <row r="39" spans="2:15" s="11" customFormat="1" ht="12.75" customHeight="1">
      <c r="B39" s="196">
        <v>16</v>
      </c>
      <c r="C39" s="292" t="s">
        <v>257</v>
      </c>
      <c r="D39" s="194">
        <v>0</v>
      </c>
      <c r="E39" s="194">
        <v>0</v>
      </c>
      <c r="F39" s="194">
        <v>0</v>
      </c>
      <c r="G39" s="194">
        <v>0</v>
      </c>
      <c r="H39" s="194">
        <v>5</v>
      </c>
      <c r="I39" s="194">
        <v>5</v>
      </c>
      <c r="J39" s="194">
        <v>5</v>
      </c>
      <c r="K39" s="194">
        <v>0</v>
      </c>
      <c r="L39" s="194"/>
      <c r="M39" s="195"/>
      <c r="N39" s="191">
        <f t="shared" si="0"/>
        <v>15</v>
      </c>
      <c r="O39" s="192">
        <f t="shared" si="1"/>
        <v>37.5</v>
      </c>
    </row>
    <row r="40" spans="2:15" s="11" customFormat="1" ht="12.75" customHeight="1">
      <c r="B40" s="196">
        <v>17</v>
      </c>
      <c r="C40" s="292" t="s">
        <v>258</v>
      </c>
      <c r="D40" s="194">
        <v>5</v>
      </c>
      <c r="E40" s="194">
        <v>0</v>
      </c>
      <c r="F40" s="194">
        <v>5</v>
      </c>
      <c r="G40" s="194">
        <v>0</v>
      </c>
      <c r="H40" s="194">
        <v>5</v>
      </c>
      <c r="I40" s="194">
        <v>0</v>
      </c>
      <c r="J40" s="194">
        <v>0</v>
      </c>
      <c r="K40" s="194">
        <v>0</v>
      </c>
      <c r="L40" s="194"/>
      <c r="M40" s="195"/>
      <c r="N40" s="191">
        <f t="shared" si="0"/>
        <v>15</v>
      </c>
      <c r="O40" s="192">
        <f t="shared" si="1"/>
        <v>37.5</v>
      </c>
    </row>
    <row r="41" spans="2:15" s="11" customFormat="1" ht="12.75" customHeight="1">
      <c r="B41" s="196">
        <v>18</v>
      </c>
      <c r="C41" s="292" t="s">
        <v>259</v>
      </c>
      <c r="D41" s="194">
        <v>5</v>
      </c>
      <c r="E41" s="194">
        <v>0</v>
      </c>
      <c r="F41" s="194">
        <v>0</v>
      </c>
      <c r="G41" s="194">
        <v>0</v>
      </c>
      <c r="H41" s="194">
        <v>0</v>
      </c>
      <c r="I41" s="194">
        <v>0</v>
      </c>
      <c r="J41" s="194">
        <v>5</v>
      </c>
      <c r="K41" s="194">
        <v>0</v>
      </c>
      <c r="L41" s="194"/>
      <c r="M41" s="195"/>
      <c r="N41" s="191">
        <f t="shared" si="0"/>
        <v>10</v>
      </c>
      <c r="O41" s="192">
        <f t="shared" si="1"/>
        <v>25</v>
      </c>
    </row>
    <row r="42" spans="2:15" s="11" customFormat="1" ht="12.75" customHeight="1">
      <c r="B42" s="196">
        <v>19</v>
      </c>
      <c r="C42" s="292" t="s">
        <v>260</v>
      </c>
      <c r="D42" s="194">
        <v>5</v>
      </c>
      <c r="E42" s="194">
        <v>5</v>
      </c>
      <c r="F42" s="194">
        <v>5</v>
      </c>
      <c r="G42" s="194">
        <v>5</v>
      </c>
      <c r="H42" s="194">
        <v>5</v>
      </c>
      <c r="I42" s="194">
        <v>5</v>
      </c>
      <c r="J42" s="194">
        <v>5</v>
      </c>
      <c r="K42" s="194">
        <v>0</v>
      </c>
      <c r="L42" s="194"/>
      <c r="M42" s="195"/>
      <c r="N42" s="191">
        <f t="shared" si="0"/>
        <v>35</v>
      </c>
      <c r="O42" s="192">
        <f t="shared" si="1"/>
        <v>87.5</v>
      </c>
    </row>
    <row r="43" spans="2:15" s="11" customFormat="1" ht="12.75" customHeight="1">
      <c r="B43" s="196">
        <v>20</v>
      </c>
      <c r="C43" s="292" t="s">
        <v>261</v>
      </c>
      <c r="D43" s="194">
        <v>5</v>
      </c>
      <c r="E43" s="194">
        <v>0</v>
      </c>
      <c r="F43" s="194">
        <v>5</v>
      </c>
      <c r="G43" s="194">
        <v>0</v>
      </c>
      <c r="H43" s="194">
        <v>0</v>
      </c>
      <c r="I43" s="194">
        <v>0</v>
      </c>
      <c r="J43" s="194">
        <v>0</v>
      </c>
      <c r="K43" s="194">
        <v>5</v>
      </c>
      <c r="L43" s="194"/>
      <c r="M43" s="195"/>
      <c r="N43" s="191">
        <f t="shared" si="0"/>
        <v>15</v>
      </c>
      <c r="O43" s="192">
        <f t="shared" si="1"/>
        <v>37.5</v>
      </c>
    </row>
    <row r="44" spans="2:15" s="11" customFormat="1" ht="12.75" customHeight="1">
      <c r="B44" s="196">
        <v>21</v>
      </c>
      <c r="C44" s="292" t="s">
        <v>262</v>
      </c>
      <c r="D44" s="194">
        <v>5</v>
      </c>
      <c r="E44" s="194">
        <v>5</v>
      </c>
      <c r="F44" s="194">
        <v>5</v>
      </c>
      <c r="G44" s="194">
        <v>5</v>
      </c>
      <c r="H44" s="194">
        <v>5</v>
      </c>
      <c r="I44" s="194">
        <v>5</v>
      </c>
      <c r="J44" s="194">
        <v>0</v>
      </c>
      <c r="K44" s="194">
        <v>5</v>
      </c>
      <c r="L44" s="194"/>
      <c r="M44" s="195"/>
      <c r="N44" s="191">
        <f t="shared" si="0"/>
        <v>35</v>
      </c>
      <c r="O44" s="192">
        <f t="shared" si="1"/>
        <v>87.5</v>
      </c>
    </row>
    <row r="45" spans="2:15" s="11" customFormat="1" ht="12.75" customHeight="1">
      <c r="B45" s="196">
        <v>22</v>
      </c>
      <c r="C45" s="292" t="s">
        <v>263</v>
      </c>
      <c r="D45" s="194">
        <v>5</v>
      </c>
      <c r="E45" s="194">
        <v>5</v>
      </c>
      <c r="F45" s="194">
        <v>5</v>
      </c>
      <c r="G45" s="194">
        <v>5</v>
      </c>
      <c r="H45" s="194">
        <v>5</v>
      </c>
      <c r="I45" s="194">
        <v>5</v>
      </c>
      <c r="J45" s="194">
        <v>0</v>
      </c>
      <c r="K45" s="194">
        <v>0</v>
      </c>
      <c r="L45" s="194"/>
      <c r="M45" s="195"/>
      <c r="N45" s="191">
        <f t="shared" si="0"/>
        <v>30</v>
      </c>
      <c r="O45" s="192">
        <f t="shared" si="1"/>
        <v>75</v>
      </c>
    </row>
    <row r="46" spans="2:15" s="11" customFormat="1" ht="12.75" customHeight="1">
      <c r="B46" s="196">
        <v>23</v>
      </c>
      <c r="C46" s="292" t="s">
        <v>264</v>
      </c>
      <c r="D46" s="194">
        <v>5</v>
      </c>
      <c r="E46" s="194">
        <v>5</v>
      </c>
      <c r="F46" s="194">
        <v>5</v>
      </c>
      <c r="G46" s="194">
        <v>5</v>
      </c>
      <c r="H46" s="194">
        <v>5</v>
      </c>
      <c r="I46" s="194">
        <v>5</v>
      </c>
      <c r="J46" s="194">
        <v>0</v>
      </c>
      <c r="K46" s="194">
        <v>5</v>
      </c>
      <c r="L46" s="194"/>
      <c r="M46" s="195"/>
      <c r="N46" s="191">
        <f t="shared" si="0"/>
        <v>35</v>
      </c>
      <c r="O46" s="192">
        <f t="shared" si="1"/>
        <v>87.5</v>
      </c>
    </row>
    <row r="47" spans="2:15" s="11" customFormat="1" ht="12.75" customHeight="1">
      <c r="B47" s="196">
        <v>24</v>
      </c>
      <c r="C47" s="291" t="s">
        <v>265</v>
      </c>
      <c r="D47" s="194">
        <v>5</v>
      </c>
      <c r="E47" s="194">
        <v>0</v>
      </c>
      <c r="F47" s="194">
        <v>5</v>
      </c>
      <c r="G47" s="194">
        <v>0</v>
      </c>
      <c r="H47" s="194">
        <v>0</v>
      </c>
      <c r="I47" s="194">
        <v>0</v>
      </c>
      <c r="J47" s="194">
        <v>0</v>
      </c>
      <c r="K47" s="194">
        <v>0</v>
      </c>
      <c r="L47" s="194"/>
      <c r="M47" s="195"/>
      <c r="N47" s="191">
        <f t="shared" si="0"/>
        <v>10</v>
      </c>
      <c r="O47" s="192">
        <f t="shared" si="1"/>
        <v>25</v>
      </c>
    </row>
    <row r="48" spans="2:15" s="11" customFormat="1" ht="12.75" customHeight="1">
      <c r="B48" s="196">
        <v>25</v>
      </c>
      <c r="C48" s="291" t="s">
        <v>266</v>
      </c>
      <c r="D48" s="194">
        <v>0</v>
      </c>
      <c r="E48" s="194">
        <v>0</v>
      </c>
      <c r="F48" s="194">
        <v>0</v>
      </c>
      <c r="G48" s="194">
        <v>0</v>
      </c>
      <c r="H48" s="194">
        <v>0</v>
      </c>
      <c r="I48" s="194">
        <v>0</v>
      </c>
      <c r="J48" s="194">
        <v>0</v>
      </c>
      <c r="K48" s="194">
        <v>0</v>
      </c>
      <c r="L48" s="194"/>
      <c r="M48" s="195"/>
      <c r="N48" s="191" t="str">
        <f t="shared" si="0"/>
        <v/>
      </c>
      <c r="O48" s="192" t="str">
        <f t="shared" si="1"/>
        <v/>
      </c>
    </row>
    <row r="49" spans="2:15" s="11" customFormat="1" ht="12.75" customHeight="1">
      <c r="B49" s="197">
        <v>26</v>
      </c>
      <c r="C49" s="292" t="s">
        <v>267</v>
      </c>
      <c r="D49" s="194">
        <v>0</v>
      </c>
      <c r="E49" s="194">
        <v>0</v>
      </c>
      <c r="F49" s="194">
        <v>0</v>
      </c>
      <c r="G49" s="194">
        <v>0</v>
      </c>
      <c r="H49" s="194">
        <v>0</v>
      </c>
      <c r="I49" s="194">
        <v>0</v>
      </c>
      <c r="J49" s="194">
        <v>0</v>
      </c>
      <c r="K49" s="194">
        <v>0</v>
      </c>
      <c r="L49" s="194"/>
      <c r="M49" s="195"/>
      <c r="N49" s="191" t="str">
        <f t="shared" si="0"/>
        <v/>
      </c>
      <c r="O49" s="192" t="str">
        <f t="shared" si="1"/>
        <v/>
      </c>
    </row>
    <row r="50" spans="2:15" s="11" customFormat="1" ht="12.75" customHeight="1">
      <c r="B50" s="197">
        <v>27</v>
      </c>
      <c r="C50" s="292" t="s">
        <v>268</v>
      </c>
      <c r="D50" s="194">
        <v>5</v>
      </c>
      <c r="E50" s="194">
        <v>0</v>
      </c>
      <c r="F50" s="194">
        <v>5</v>
      </c>
      <c r="G50" s="194">
        <v>0</v>
      </c>
      <c r="H50" s="194">
        <v>0</v>
      </c>
      <c r="I50" s="194">
        <v>0</v>
      </c>
      <c r="J50" s="194">
        <v>0</v>
      </c>
      <c r="K50" s="194">
        <v>0</v>
      </c>
      <c r="L50" s="194"/>
      <c r="M50" s="195"/>
      <c r="N50" s="191">
        <f t="shared" si="0"/>
        <v>10</v>
      </c>
      <c r="O50" s="192">
        <f t="shared" si="1"/>
        <v>25</v>
      </c>
    </row>
    <row r="51" spans="2:15" s="11" customFormat="1" ht="12.75" customHeight="1">
      <c r="B51" s="197">
        <v>28</v>
      </c>
      <c r="C51" s="292" t="s">
        <v>269</v>
      </c>
      <c r="D51" s="194">
        <v>0</v>
      </c>
      <c r="E51" s="194">
        <v>0</v>
      </c>
      <c r="F51" s="194">
        <v>0</v>
      </c>
      <c r="G51" s="194">
        <v>0</v>
      </c>
      <c r="H51" s="194">
        <v>0</v>
      </c>
      <c r="I51" s="194">
        <v>0</v>
      </c>
      <c r="J51" s="194">
        <v>0</v>
      </c>
      <c r="K51" s="194">
        <v>0</v>
      </c>
      <c r="L51" s="194"/>
      <c r="M51" s="195"/>
      <c r="N51" s="191" t="str">
        <f t="shared" si="0"/>
        <v/>
      </c>
      <c r="O51" s="192" t="str">
        <f t="shared" si="1"/>
        <v/>
      </c>
    </row>
    <row r="52" spans="2:15" s="11" customFormat="1" ht="12.75" customHeight="1">
      <c r="B52" s="197">
        <v>29</v>
      </c>
      <c r="C52" s="292" t="s">
        <v>270</v>
      </c>
      <c r="D52" s="194">
        <v>5</v>
      </c>
      <c r="E52" s="194">
        <v>0</v>
      </c>
      <c r="F52" s="194">
        <v>0</v>
      </c>
      <c r="G52" s="194">
        <v>0</v>
      </c>
      <c r="H52" s="194">
        <v>0</v>
      </c>
      <c r="I52" s="194">
        <v>0</v>
      </c>
      <c r="J52" s="194">
        <v>0</v>
      </c>
      <c r="K52" s="194">
        <v>0</v>
      </c>
      <c r="L52" s="194"/>
      <c r="M52" s="195"/>
      <c r="N52" s="191">
        <f t="shared" si="0"/>
        <v>5</v>
      </c>
      <c r="O52" s="192">
        <f t="shared" si="1"/>
        <v>12.5</v>
      </c>
    </row>
    <row r="53" spans="2:15" s="11" customFormat="1" ht="12.75" customHeight="1">
      <c r="B53" s="197">
        <v>30</v>
      </c>
      <c r="C53" s="292" t="s">
        <v>271</v>
      </c>
      <c r="D53" s="194">
        <v>5</v>
      </c>
      <c r="E53" s="194">
        <v>0</v>
      </c>
      <c r="F53" s="194">
        <v>5</v>
      </c>
      <c r="G53" s="194">
        <v>0</v>
      </c>
      <c r="H53" s="194">
        <v>0</v>
      </c>
      <c r="I53" s="194">
        <v>0</v>
      </c>
      <c r="J53" s="194">
        <v>0</v>
      </c>
      <c r="K53" s="194">
        <v>0</v>
      </c>
      <c r="L53" s="194"/>
      <c r="M53" s="195"/>
      <c r="N53" s="191">
        <f t="shared" si="0"/>
        <v>10</v>
      </c>
      <c r="O53" s="192">
        <f t="shared" si="1"/>
        <v>25</v>
      </c>
    </row>
    <row r="54" spans="2:15" s="11" customFormat="1" ht="12.75" customHeight="1">
      <c r="B54" s="197">
        <v>31</v>
      </c>
      <c r="C54" s="294" t="s">
        <v>272</v>
      </c>
      <c r="D54" s="194">
        <v>5</v>
      </c>
      <c r="E54" s="194">
        <v>0</v>
      </c>
      <c r="F54" s="194">
        <v>5</v>
      </c>
      <c r="G54" s="194">
        <v>5</v>
      </c>
      <c r="H54" s="194">
        <v>5</v>
      </c>
      <c r="I54" s="194">
        <v>0</v>
      </c>
      <c r="J54" s="194">
        <v>5</v>
      </c>
      <c r="K54" s="194">
        <v>0</v>
      </c>
      <c r="L54" s="194"/>
      <c r="M54" s="195"/>
      <c r="N54" s="191">
        <f t="shared" si="0"/>
        <v>25</v>
      </c>
      <c r="O54" s="192">
        <f t="shared" si="1"/>
        <v>62.5</v>
      </c>
    </row>
    <row r="55" spans="2:15" s="11" customFormat="1" ht="12.75" customHeight="1">
      <c r="B55" s="197">
        <v>32</v>
      </c>
      <c r="C55" s="292" t="s">
        <v>273</v>
      </c>
      <c r="D55" s="194">
        <v>5</v>
      </c>
      <c r="E55" s="194">
        <v>0</v>
      </c>
      <c r="F55" s="194">
        <v>0</v>
      </c>
      <c r="G55" s="194">
        <v>5</v>
      </c>
      <c r="H55" s="194">
        <v>5</v>
      </c>
      <c r="I55" s="194">
        <v>0</v>
      </c>
      <c r="J55" s="194">
        <v>0</v>
      </c>
      <c r="K55" s="194">
        <v>0</v>
      </c>
      <c r="L55" s="194"/>
      <c r="M55" s="195"/>
      <c r="N55" s="191">
        <f t="shared" si="0"/>
        <v>15</v>
      </c>
      <c r="O55" s="192">
        <f t="shared" si="1"/>
        <v>37.5</v>
      </c>
    </row>
    <row r="56" spans="2:15" s="11" customFormat="1" ht="12.75" customHeight="1">
      <c r="B56" s="197">
        <v>33</v>
      </c>
      <c r="C56" s="292" t="s">
        <v>274</v>
      </c>
      <c r="D56" s="194">
        <v>5</v>
      </c>
      <c r="E56" s="194">
        <v>0</v>
      </c>
      <c r="F56" s="194">
        <v>0</v>
      </c>
      <c r="G56" s="194">
        <v>0</v>
      </c>
      <c r="H56" s="194">
        <v>5</v>
      </c>
      <c r="I56" s="194">
        <v>0</v>
      </c>
      <c r="J56" s="194">
        <v>5</v>
      </c>
      <c r="K56" s="194">
        <v>0</v>
      </c>
      <c r="L56" s="194"/>
      <c r="M56" s="195"/>
      <c r="N56" s="191">
        <f t="shared" si="0"/>
        <v>15</v>
      </c>
      <c r="O56" s="192">
        <f t="shared" si="1"/>
        <v>37.5</v>
      </c>
    </row>
    <row r="57" spans="2:15" s="11" customFormat="1" ht="12.75" customHeight="1">
      <c r="B57" s="197">
        <v>34</v>
      </c>
      <c r="C57" s="292" t="s">
        <v>275</v>
      </c>
      <c r="D57" s="194">
        <v>5</v>
      </c>
      <c r="E57" s="194">
        <v>0</v>
      </c>
      <c r="F57" s="194">
        <v>0</v>
      </c>
      <c r="G57" s="194">
        <v>0</v>
      </c>
      <c r="H57" s="194">
        <v>0</v>
      </c>
      <c r="I57" s="194">
        <v>0</v>
      </c>
      <c r="J57" s="194">
        <v>0</v>
      </c>
      <c r="K57" s="194">
        <v>0</v>
      </c>
      <c r="L57" s="194"/>
      <c r="M57" s="195"/>
      <c r="N57" s="191">
        <f t="shared" si="0"/>
        <v>5</v>
      </c>
      <c r="O57" s="192">
        <f t="shared" si="1"/>
        <v>12.5</v>
      </c>
    </row>
    <row r="58" spans="2:15" s="11" customFormat="1" ht="12.75" customHeight="1">
      <c r="B58" s="197">
        <v>35</v>
      </c>
      <c r="C58" s="292" t="s">
        <v>276</v>
      </c>
      <c r="D58" s="194">
        <v>5</v>
      </c>
      <c r="E58" s="194">
        <v>0</v>
      </c>
      <c r="F58" s="194">
        <v>5</v>
      </c>
      <c r="G58" s="194">
        <v>0</v>
      </c>
      <c r="H58" s="194">
        <v>0</v>
      </c>
      <c r="I58" s="194">
        <v>0</v>
      </c>
      <c r="J58" s="194">
        <v>0</v>
      </c>
      <c r="K58" s="194">
        <v>0</v>
      </c>
      <c r="L58" s="194"/>
      <c r="M58" s="195"/>
      <c r="N58" s="191">
        <f t="shared" si="0"/>
        <v>10</v>
      </c>
      <c r="O58" s="192">
        <f t="shared" si="1"/>
        <v>25</v>
      </c>
    </row>
    <row r="59" spans="2:15" s="11" customFormat="1" ht="12.75" customHeight="1">
      <c r="B59" s="197">
        <v>36</v>
      </c>
      <c r="C59" s="211"/>
      <c r="D59" s="194"/>
      <c r="E59" s="194"/>
      <c r="F59" s="194"/>
      <c r="G59" s="194"/>
      <c r="H59" s="194"/>
      <c r="I59" s="194"/>
      <c r="J59" s="194"/>
      <c r="K59" s="194"/>
      <c r="L59" s="194"/>
      <c r="M59" s="195"/>
      <c r="N59" s="191" t="str">
        <f t="shared" si="0"/>
        <v/>
      </c>
      <c r="O59" s="192" t="str">
        <f t="shared" si="1"/>
        <v/>
      </c>
    </row>
    <row r="60" spans="2:15" s="11" customFormat="1" ht="12.75" customHeight="1">
      <c r="B60" s="274" t="s">
        <v>79</v>
      </c>
      <c r="C60" s="275"/>
      <c r="D60" s="276"/>
      <c r="E60" s="277"/>
      <c r="F60" s="277"/>
      <c r="G60" s="277"/>
      <c r="H60" s="277"/>
      <c r="I60" s="277"/>
      <c r="J60" s="277"/>
      <c r="K60" s="277"/>
      <c r="L60" s="277"/>
      <c r="M60" s="278"/>
      <c r="N60" s="191" t="str">
        <f t="shared" si="0"/>
        <v/>
      </c>
      <c r="O60" s="192" t="str">
        <f t="shared" si="1"/>
        <v/>
      </c>
    </row>
    <row r="61" spans="2:15" s="11" customFormat="1" ht="12.75" customHeight="1">
      <c r="B61" s="310" t="s">
        <v>234</v>
      </c>
      <c r="C61" s="310"/>
      <c r="D61" s="282">
        <f>SUM(D24:D59)</f>
        <v>120</v>
      </c>
      <c r="E61" s="282">
        <f t="shared" ref="E61:M61" si="2">SUM(E24:E59)</f>
        <v>45</v>
      </c>
      <c r="F61" s="282">
        <f t="shared" si="2"/>
        <v>70</v>
      </c>
      <c r="G61" s="282">
        <f t="shared" si="2"/>
        <v>45</v>
      </c>
      <c r="H61" s="282">
        <f t="shared" si="2"/>
        <v>75</v>
      </c>
      <c r="I61" s="282">
        <f t="shared" si="2"/>
        <v>40</v>
      </c>
      <c r="J61" s="282">
        <f t="shared" si="2"/>
        <v>75</v>
      </c>
      <c r="K61" s="282">
        <f t="shared" si="2"/>
        <v>30</v>
      </c>
      <c r="L61" s="282">
        <f t="shared" si="2"/>
        <v>0</v>
      </c>
      <c r="M61" s="282">
        <f t="shared" si="2"/>
        <v>0</v>
      </c>
      <c r="N61" s="191"/>
      <c r="O61" s="192"/>
    </row>
    <row r="62" spans="2:15" s="11" customFormat="1" ht="12.75" customHeight="1">
      <c r="B62" s="310" t="s">
        <v>235</v>
      </c>
      <c r="C62" s="310"/>
      <c r="D62" s="272">
        <f>(D66)*D19</f>
        <v>145</v>
      </c>
      <c r="E62" s="272">
        <f>(D66)*E19</f>
        <v>145</v>
      </c>
      <c r="F62" s="272">
        <f>(D66)*F19</f>
        <v>145</v>
      </c>
      <c r="G62" s="272">
        <f>(D66)*G19</f>
        <v>145</v>
      </c>
      <c r="H62" s="272">
        <f>(D66)*H19</f>
        <v>145</v>
      </c>
      <c r="I62" s="272">
        <f>(D66)*I19</f>
        <v>145</v>
      </c>
      <c r="J62" s="272">
        <f>(D66)*J19</f>
        <v>145</v>
      </c>
      <c r="K62" s="272">
        <f>(D66)*K19</f>
        <v>145</v>
      </c>
      <c r="L62" s="272">
        <f>(D66)*L19</f>
        <v>0</v>
      </c>
      <c r="M62" s="272">
        <f>(D66)*M19</f>
        <v>0</v>
      </c>
      <c r="N62" s="191"/>
      <c r="O62" s="192"/>
    </row>
    <row r="63" spans="2:15" s="11" customFormat="1" ht="12.75" customHeight="1">
      <c r="B63" s="310" t="s">
        <v>236</v>
      </c>
      <c r="C63" s="310"/>
      <c r="D63" s="273">
        <f>(D61/D62)*100</f>
        <v>82.758620689655174</v>
      </c>
      <c r="E63" s="273">
        <f t="shared" ref="E63:M63" si="3">(E61/E62)*100</f>
        <v>31.03448275862069</v>
      </c>
      <c r="F63" s="273">
        <f t="shared" si="3"/>
        <v>48.275862068965516</v>
      </c>
      <c r="G63" s="273">
        <f t="shared" si="3"/>
        <v>31.03448275862069</v>
      </c>
      <c r="H63" s="273">
        <f t="shared" si="3"/>
        <v>51.724137931034484</v>
      </c>
      <c r="I63" s="273">
        <f t="shared" si="3"/>
        <v>27.586206896551722</v>
      </c>
      <c r="J63" s="273">
        <f t="shared" si="3"/>
        <v>51.724137931034484</v>
      </c>
      <c r="K63" s="273">
        <f t="shared" si="3"/>
        <v>20.689655172413794</v>
      </c>
      <c r="L63" s="273" t="e">
        <f t="shared" si="3"/>
        <v>#DIV/0!</v>
      </c>
      <c r="M63" s="273" t="e">
        <f t="shared" si="3"/>
        <v>#DIV/0!</v>
      </c>
      <c r="N63" s="191"/>
      <c r="O63" s="192"/>
    </row>
    <row r="64" spans="2:15" s="11" customFormat="1" ht="12.75" customHeight="1">
      <c r="B64" s="310" t="s">
        <v>237</v>
      </c>
      <c r="C64" s="310"/>
      <c r="D64" s="273">
        <f>100-(D63)</f>
        <v>17.241379310344826</v>
      </c>
      <c r="E64" s="273">
        <f t="shared" ref="E64:M64" si="4">100-(E63)</f>
        <v>68.965517241379303</v>
      </c>
      <c r="F64" s="273">
        <f t="shared" si="4"/>
        <v>51.724137931034484</v>
      </c>
      <c r="G64" s="273">
        <f t="shared" si="4"/>
        <v>68.965517241379303</v>
      </c>
      <c r="H64" s="273">
        <f t="shared" si="4"/>
        <v>48.275862068965516</v>
      </c>
      <c r="I64" s="273">
        <f t="shared" si="4"/>
        <v>72.413793103448285</v>
      </c>
      <c r="J64" s="273">
        <f t="shared" si="4"/>
        <v>48.275862068965516</v>
      </c>
      <c r="K64" s="273">
        <f t="shared" si="4"/>
        <v>79.310344827586206</v>
      </c>
      <c r="L64" s="273" t="e">
        <f t="shared" si="4"/>
        <v>#DIV/0!</v>
      </c>
      <c r="M64" s="273" t="e">
        <f t="shared" si="4"/>
        <v>#DIV/0!</v>
      </c>
      <c r="N64" s="191"/>
      <c r="O64" s="192"/>
    </row>
    <row r="65" spans="2:15" s="11" customFormat="1" ht="12.75" customHeight="1">
      <c r="B65" s="310" t="s">
        <v>238</v>
      </c>
      <c r="C65" s="310"/>
      <c r="D65" s="272" t="str">
        <f>IF(D64&gt;=75,"KLS",IF(D64&lt;50,"IND","TS"))</f>
        <v>IND</v>
      </c>
      <c r="E65" s="272" t="str">
        <f t="shared" ref="E65:M65" si="5">IF(E64&gt;=75,"KLS",IF(E64&lt;50,"IND","TS"))</f>
        <v>TS</v>
      </c>
      <c r="F65" s="272" t="str">
        <f t="shared" si="5"/>
        <v>TS</v>
      </c>
      <c r="G65" s="272" t="str">
        <f t="shared" si="5"/>
        <v>TS</v>
      </c>
      <c r="H65" s="272" t="str">
        <f t="shared" si="5"/>
        <v>IND</v>
      </c>
      <c r="I65" s="272" t="str">
        <f t="shared" si="5"/>
        <v>TS</v>
      </c>
      <c r="J65" s="272" t="str">
        <f t="shared" si="5"/>
        <v>IND</v>
      </c>
      <c r="K65" s="272" t="str">
        <f t="shared" si="5"/>
        <v>KLS</v>
      </c>
      <c r="L65" s="272" t="e">
        <f t="shared" si="5"/>
        <v>#DIV/0!</v>
      </c>
      <c r="M65" s="272" t="e">
        <f t="shared" si="5"/>
        <v>#DIV/0!</v>
      </c>
      <c r="N65" s="191"/>
      <c r="O65" s="192"/>
    </row>
    <row r="66" spans="2:15" ht="15.75">
      <c r="B66" s="279"/>
      <c r="C66" s="210" t="s">
        <v>4</v>
      </c>
      <c r="D66" s="280" t="str">
        <f>COUNT(N24:N65)&amp;""</f>
        <v>29</v>
      </c>
      <c r="E66" s="306" t="s">
        <v>25</v>
      </c>
      <c r="F66" s="307"/>
      <c r="G66" s="307"/>
      <c r="H66" s="281"/>
      <c r="I66" s="281"/>
      <c r="J66" s="281"/>
      <c r="K66" s="281"/>
      <c r="L66" s="281"/>
      <c r="M66" s="281"/>
      <c r="N66" s="111"/>
      <c r="O66" s="5"/>
    </row>
    <row r="68" spans="2:15">
      <c r="J68" s="205" t="s">
        <v>240</v>
      </c>
      <c r="K68" s="205"/>
      <c r="L68" s="311">
        <f>E10</f>
        <v>43364</v>
      </c>
      <c r="M68" s="311"/>
      <c r="N68" s="311"/>
    </row>
    <row r="69" spans="2:15">
      <c r="C69" s="151" t="s">
        <v>33</v>
      </c>
    </row>
    <row r="70" spans="2:15">
      <c r="C70" s="151" t="s">
        <v>34</v>
      </c>
      <c r="J70" s="296" t="s">
        <v>24</v>
      </c>
      <c r="K70" s="296"/>
      <c r="L70" s="296"/>
      <c r="M70" s="296"/>
      <c r="N70" s="296"/>
    </row>
    <row r="75" spans="2:15">
      <c r="C75" s="204" t="s">
        <v>104</v>
      </c>
      <c r="D75" s="205"/>
      <c r="E75" s="205"/>
      <c r="J75" s="300" t="str">
        <f>""&amp;E12</f>
        <v>Abdul Samad, S.Pd., M.Pd</v>
      </c>
      <c r="K75" s="300"/>
      <c r="L75" s="300"/>
      <c r="M75" s="300"/>
      <c r="N75" s="300"/>
    </row>
    <row r="76" spans="2:15">
      <c r="C76" s="206" t="s">
        <v>105</v>
      </c>
      <c r="J76" s="296" t="str">
        <f>Analisis!V37</f>
        <v>NIP 19720802 199702 1 001</v>
      </c>
      <c r="K76" s="296"/>
      <c r="L76" s="296"/>
      <c r="M76" s="296"/>
      <c r="N76" s="296"/>
    </row>
  </sheetData>
  <protectedRanges>
    <protectedRange password="81A4" sqref="C58" name="Range2_1_1_1_1_1_1_2_1_3_3"/>
  </protectedRanges>
  <mergeCells count="23">
    <mergeCell ref="B1:O1"/>
    <mergeCell ref="B2:O2"/>
    <mergeCell ref="N21:N22"/>
    <mergeCell ref="B16:O16"/>
    <mergeCell ref="O21:O22"/>
    <mergeCell ref="D17:M17"/>
    <mergeCell ref="B17:C18"/>
    <mergeCell ref="B21:B23"/>
    <mergeCell ref="J76:N76"/>
    <mergeCell ref="B3:B14"/>
    <mergeCell ref="J70:N70"/>
    <mergeCell ref="J75:N75"/>
    <mergeCell ref="D23:M23"/>
    <mergeCell ref="C21:C23"/>
    <mergeCell ref="E66:G66"/>
    <mergeCell ref="D21:M21"/>
    <mergeCell ref="E10:H10"/>
    <mergeCell ref="B61:C61"/>
    <mergeCell ref="B62:C62"/>
    <mergeCell ref="B63:C63"/>
    <mergeCell ref="B64:C64"/>
    <mergeCell ref="B65:C65"/>
    <mergeCell ref="L68:N68"/>
  </mergeCells>
  <phoneticPr fontId="0" type="noConversion"/>
  <printOptions horizontalCentered="1"/>
  <pageMargins left="0.62992125984251968" right="0.31496062992125984" top="0.59055118110236227" bottom="0.62992125984251968" header="0.51181102362204722" footer="0.51181102362204722"/>
  <pageSetup paperSize="256" orientation="portrait" horizontalDpi="4294967292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4"/>
  <sheetViews>
    <sheetView zoomScale="70" zoomScaleNormal="70" workbookViewId="0">
      <selection activeCell="C16" sqref="C16"/>
    </sheetView>
  </sheetViews>
  <sheetFormatPr defaultRowHeight="12.75"/>
  <cols>
    <col min="1" max="1" width="3.7109375" style="2" customWidth="1"/>
    <col min="2" max="2" width="30.7109375" style="2" customWidth="1"/>
    <col min="3" max="12" width="5.7109375" style="2" customWidth="1"/>
    <col min="13" max="15" width="9.140625" style="1"/>
    <col min="16" max="16" width="12.42578125" style="1" customWidth="1"/>
    <col min="17" max="17" width="6" style="1" customWidth="1"/>
    <col min="18" max="18" width="33.42578125" style="1" customWidth="1"/>
    <col min="19" max="28" width="6.7109375" style="1" customWidth="1"/>
    <col min="29" max="16384" width="9.140625" style="1"/>
  </cols>
  <sheetData>
    <row r="1" spans="1:28" ht="30" customHeight="1" thickTop="1" thickBot="1">
      <c r="A1" s="76" t="s">
        <v>45</v>
      </c>
      <c r="B1" s="77"/>
      <c r="C1" s="77"/>
      <c r="D1" s="77"/>
      <c r="E1" s="77"/>
      <c r="F1" s="77"/>
      <c r="G1" s="78"/>
      <c r="N1" s="329" t="s">
        <v>241</v>
      </c>
      <c r="O1" s="329"/>
      <c r="P1" s="329"/>
      <c r="Q1" s="329"/>
      <c r="R1" s="329"/>
      <c r="S1" s="329"/>
      <c r="T1" s="329"/>
      <c r="U1" s="329"/>
      <c r="V1" s="329"/>
    </row>
    <row r="2" spans="1:28" ht="13.5" thickTop="1"/>
    <row r="4" spans="1:28" s="33" customFormat="1" ht="14.25">
      <c r="A4" s="337" t="s">
        <v>2</v>
      </c>
      <c r="B4" s="337"/>
      <c r="C4" s="60" t="str">
        <f>""&amp;Data1!D18</f>
        <v>1</v>
      </c>
      <c r="D4" s="60" t="str">
        <f>""&amp;Data1!E18</f>
        <v>2</v>
      </c>
      <c r="E4" s="60" t="str">
        <f>""&amp;Data1!F18</f>
        <v>3</v>
      </c>
      <c r="F4" s="60" t="str">
        <f>""&amp;Data1!G18</f>
        <v>4</v>
      </c>
      <c r="G4" s="60" t="str">
        <f>""&amp;Data1!H18</f>
        <v>5</v>
      </c>
      <c r="H4" s="60" t="str">
        <f>""&amp;Data1!I18</f>
        <v>6</v>
      </c>
      <c r="I4" s="60" t="str">
        <f>""&amp;Data1!J18</f>
        <v>7</v>
      </c>
      <c r="J4" s="60" t="str">
        <f>""&amp;Data1!K18</f>
        <v>8</v>
      </c>
      <c r="K4" s="60" t="str">
        <f>""&amp;Data1!L18</f>
        <v>9</v>
      </c>
      <c r="L4" s="60" t="str">
        <f>""&amp;Data1!M18</f>
        <v>10</v>
      </c>
    </row>
    <row r="5" spans="1:28" s="33" customFormat="1" ht="18.75">
      <c r="A5" s="337" t="s">
        <v>3</v>
      </c>
      <c r="B5" s="337"/>
      <c r="C5" s="175" t="str">
        <f>""&amp;Data1!D19</f>
        <v>5</v>
      </c>
      <c r="D5" s="175" t="str">
        <f>""&amp;Data1!E19</f>
        <v>5</v>
      </c>
      <c r="E5" s="175" t="str">
        <f>""&amp;Data1!F19</f>
        <v>5</v>
      </c>
      <c r="F5" s="175" t="str">
        <f>""&amp;Data1!G19</f>
        <v>5</v>
      </c>
      <c r="G5" s="175" t="str">
        <f>""&amp;Data1!H19</f>
        <v>5</v>
      </c>
      <c r="H5" s="175" t="str">
        <f>""&amp;Data1!I19</f>
        <v>5</v>
      </c>
      <c r="I5" s="175" t="str">
        <f>""&amp;Data1!J19</f>
        <v>5</v>
      </c>
      <c r="J5" s="175" t="str">
        <f>""&amp;Data1!K19</f>
        <v>5</v>
      </c>
      <c r="K5" s="175" t="str">
        <f>""&amp;Data1!L19</f>
        <v/>
      </c>
      <c r="L5" s="175" t="str">
        <f>""&amp;Data1!M19</f>
        <v/>
      </c>
      <c r="O5" s="198" t="s">
        <v>77</v>
      </c>
      <c r="P5" s="198"/>
      <c r="Q5" s="198"/>
      <c r="R5" s="198"/>
      <c r="S5" s="199" t="s">
        <v>76</v>
      </c>
      <c r="T5" s="198">
        <f>ROUNDUP(27/100*Data1!D66,0)</f>
        <v>8</v>
      </c>
    </row>
    <row r="6" spans="1:28" s="12" customFormat="1" ht="14.25">
      <c r="A6" s="337" t="s">
        <v>4</v>
      </c>
      <c r="B6" s="337"/>
      <c r="C6" s="110" t="str">
        <f>Data1!D66</f>
        <v>29</v>
      </c>
      <c r="D6" s="110" t="str">
        <f>Data1!D66</f>
        <v>29</v>
      </c>
      <c r="E6" s="110" t="str">
        <f>Data1!D66</f>
        <v>29</v>
      </c>
      <c r="F6" s="110" t="str">
        <f>Data1!D66</f>
        <v>29</v>
      </c>
      <c r="G6" s="110" t="str">
        <f>Data1!D66</f>
        <v>29</v>
      </c>
      <c r="H6" s="110" t="str">
        <f>Data1!D66</f>
        <v>29</v>
      </c>
      <c r="I6" s="110" t="str">
        <f>Data1!D66</f>
        <v>29</v>
      </c>
      <c r="J6" s="110" t="str">
        <f>Data1!D66</f>
        <v>29</v>
      </c>
      <c r="K6" s="110" t="str">
        <f>Data1!D66</f>
        <v>29</v>
      </c>
      <c r="L6" s="110" t="str">
        <f>Data1!D66</f>
        <v>29</v>
      </c>
    </row>
    <row r="7" spans="1:28" ht="14.25">
      <c r="A7" s="34"/>
      <c r="B7" s="34"/>
    </row>
    <row r="8" spans="1:28" ht="24.95" customHeight="1">
      <c r="A8" s="331" t="s">
        <v>5</v>
      </c>
      <c r="B8" s="332"/>
      <c r="C8" s="332"/>
      <c r="D8" s="332"/>
      <c r="E8" s="332"/>
      <c r="F8" s="332"/>
      <c r="G8" s="332"/>
      <c r="H8" s="332"/>
      <c r="I8" s="332"/>
      <c r="J8" s="332"/>
      <c r="K8" s="332"/>
      <c r="L8" s="332"/>
      <c r="S8" s="301" t="s">
        <v>7</v>
      </c>
      <c r="T8" s="302"/>
      <c r="U8" s="302"/>
      <c r="V8" s="302"/>
      <c r="W8" s="302"/>
      <c r="X8" s="302"/>
      <c r="Y8" s="302"/>
      <c r="Z8" s="302"/>
      <c r="AA8" s="302"/>
      <c r="AB8" s="330"/>
    </row>
    <row r="9" spans="1:28" ht="12.75" customHeight="1">
      <c r="A9" s="333" t="s">
        <v>0</v>
      </c>
      <c r="B9" s="333" t="s">
        <v>1</v>
      </c>
      <c r="C9" s="334" t="str">
        <f>""&amp;Data1!D18</f>
        <v>1</v>
      </c>
      <c r="D9" s="334" t="str">
        <f>""&amp;Data1!E18</f>
        <v>2</v>
      </c>
      <c r="E9" s="334" t="str">
        <f>""&amp;Data1!F18</f>
        <v>3</v>
      </c>
      <c r="F9" s="334" t="str">
        <f>""&amp;Data1!G18</f>
        <v>4</v>
      </c>
      <c r="G9" s="334" t="str">
        <f>""&amp;Data1!H18</f>
        <v>5</v>
      </c>
      <c r="H9" s="334" t="str">
        <f>""&amp;Data1!I18</f>
        <v>6</v>
      </c>
      <c r="I9" s="334" t="str">
        <f>""&amp;Data1!J18</f>
        <v>7</v>
      </c>
      <c r="J9" s="334" t="str">
        <f>""&amp;Data1!K18</f>
        <v>8</v>
      </c>
      <c r="K9" s="334" t="str">
        <f>""&amp;Data1!L18</f>
        <v>9</v>
      </c>
      <c r="L9" s="334" t="str">
        <f>""&amp;Data1!M18</f>
        <v>10</v>
      </c>
      <c r="O9" s="171" t="s">
        <v>58</v>
      </c>
      <c r="P9" s="171" t="s">
        <v>57</v>
      </c>
      <c r="Q9" s="171" t="s">
        <v>0</v>
      </c>
      <c r="R9" s="171" t="s">
        <v>1</v>
      </c>
      <c r="S9" s="6">
        <v>1</v>
      </c>
      <c r="T9" s="6">
        <v>2</v>
      </c>
      <c r="U9" s="6">
        <v>3</v>
      </c>
      <c r="V9" s="6">
        <v>4</v>
      </c>
      <c r="W9" s="6">
        <v>5</v>
      </c>
      <c r="X9" s="6">
        <v>6</v>
      </c>
      <c r="Y9" s="6">
        <v>7</v>
      </c>
      <c r="Z9" s="6">
        <v>8</v>
      </c>
      <c r="AA9" s="6">
        <v>9</v>
      </c>
      <c r="AB9" s="6">
        <v>10</v>
      </c>
    </row>
    <row r="10" spans="1:28" ht="12.75" customHeight="1">
      <c r="A10" s="333"/>
      <c r="B10" s="333"/>
      <c r="C10" s="335"/>
      <c r="D10" s="335"/>
      <c r="E10" s="335"/>
      <c r="F10" s="335"/>
      <c r="G10" s="335"/>
      <c r="H10" s="335"/>
      <c r="I10" s="335"/>
      <c r="J10" s="335"/>
      <c r="K10" s="335"/>
      <c r="L10" s="335"/>
      <c r="O10" s="171"/>
      <c r="P10" s="218">
        <f>IF(Data1!N57="","",Data1!N57)</f>
        <v>5</v>
      </c>
      <c r="Q10" s="219">
        <f>Data1!B57</f>
        <v>34</v>
      </c>
      <c r="R10" s="218" t="str">
        <f>IF(Data1!C57="","",Data1!C57)</f>
        <v>WINDA BIRING ALLO</v>
      </c>
      <c r="S10" s="201">
        <f>IF(Data1!D57="","",Data1!D57)</f>
        <v>5</v>
      </c>
      <c r="T10" s="201">
        <f>IF(Data1!E57="","",Data1!E57)</f>
        <v>0</v>
      </c>
      <c r="U10" s="201">
        <f>IF(Data1!F57="","",Data1!F57)</f>
        <v>0</v>
      </c>
      <c r="V10" s="201">
        <f>IF(Data1!G57="","",Data1!G57)</f>
        <v>0</v>
      </c>
      <c r="W10" s="201">
        <f>IF(Data1!H57="","",Data1!H57)</f>
        <v>0</v>
      </c>
      <c r="X10" s="201">
        <f>IF(Data1!I57="","",Data1!I57)</f>
        <v>0</v>
      </c>
      <c r="Y10" s="201">
        <f>IF(Data1!J57="","",Data1!J57)</f>
        <v>0</v>
      </c>
      <c r="Z10" s="201">
        <f>IF(Data1!K57="","",Data1!K57)</f>
        <v>0</v>
      </c>
      <c r="AA10" s="201" t="str">
        <f>IF(Data1!L57="","",Data1!L57)</f>
        <v/>
      </c>
      <c r="AB10" s="201" t="str">
        <f>IF(Data1!M57="","",Data1!M57)</f>
        <v/>
      </c>
    </row>
    <row r="11" spans="1:28" ht="12.75" customHeight="1">
      <c r="A11" s="333"/>
      <c r="B11" s="333"/>
      <c r="C11" s="336"/>
      <c r="D11" s="336"/>
      <c r="E11" s="336"/>
      <c r="F11" s="336"/>
      <c r="G11" s="336"/>
      <c r="H11" s="336"/>
      <c r="I11" s="336"/>
      <c r="J11" s="336"/>
      <c r="K11" s="336"/>
      <c r="L11" s="336"/>
      <c r="O11" s="6">
        <v>1</v>
      </c>
      <c r="P11" s="201">
        <f>IF(Data1!N36="","",Data1!N36)</f>
        <v>5</v>
      </c>
      <c r="Q11" s="202">
        <f>Data1!B36</f>
        <v>13</v>
      </c>
      <c r="R11" s="201" t="str">
        <f>IF(Data1!C36="","",Data1!C36)</f>
        <v>KATRIN ALMEISA</v>
      </c>
      <c r="S11" s="201">
        <f>IF(Data1!D36="","",Data1!D36)</f>
        <v>0</v>
      </c>
      <c r="T11" s="201">
        <f>IF(Data1!E36="","",Data1!E36)</f>
        <v>0</v>
      </c>
      <c r="U11" s="201">
        <f>IF(Data1!F36="","",Data1!F36)</f>
        <v>0</v>
      </c>
      <c r="V11" s="201">
        <f>IF(Data1!G36="","",Data1!G36)</f>
        <v>0</v>
      </c>
      <c r="W11" s="201">
        <f>IF(Data1!H36="","",Data1!H36)</f>
        <v>0</v>
      </c>
      <c r="X11" s="201">
        <f>IF(Data1!I38="","",Data1!I38)</f>
        <v>0</v>
      </c>
      <c r="Y11" s="201">
        <f>IF(Data1!J38="","",Data1!J38)</f>
        <v>0</v>
      </c>
      <c r="Z11" s="201">
        <f>IF(Data1!K38="","",Data1!K38)</f>
        <v>0</v>
      </c>
      <c r="AA11" s="201" t="str">
        <f>IF(Data1!L38="","",Data1!L38)</f>
        <v/>
      </c>
      <c r="AB11" s="201" t="str">
        <f>IF(Data1!M38="","",Data1!M38)</f>
        <v/>
      </c>
    </row>
    <row r="12" spans="1:28" ht="15.75" customHeight="1">
      <c r="A12" s="73">
        <v>1</v>
      </c>
      <c r="B12" s="201" t="s">
        <v>113</v>
      </c>
      <c r="C12" s="201">
        <v>5</v>
      </c>
      <c r="D12" s="201">
        <v>5</v>
      </c>
      <c r="E12" s="201">
        <v>4</v>
      </c>
      <c r="F12" s="201">
        <v>5</v>
      </c>
      <c r="G12" s="201">
        <v>5</v>
      </c>
      <c r="H12" s="159"/>
      <c r="I12" s="159"/>
      <c r="J12" s="159"/>
      <c r="K12" s="159"/>
      <c r="L12" s="159"/>
      <c r="O12" s="6">
        <v>2</v>
      </c>
      <c r="P12" s="201">
        <f>IF(Data1!N44="","",Data1!N44)</f>
        <v>35</v>
      </c>
      <c r="Q12" s="202">
        <f>Data1!B44</f>
        <v>21</v>
      </c>
      <c r="R12" s="201" t="str">
        <f>IF(Data1!C44="","",Data1!C44)</f>
        <v>MUHAMMAD HAFIZH H.A</v>
      </c>
      <c r="S12" s="201">
        <f>IF(Data1!D44="","",Data1!D44)</f>
        <v>5</v>
      </c>
      <c r="T12" s="201">
        <f>IF(Data1!E44="","",Data1!E44)</f>
        <v>5</v>
      </c>
      <c r="U12" s="201">
        <f>IF(Data1!F44="","",Data1!F44)</f>
        <v>5</v>
      </c>
      <c r="V12" s="201">
        <f>IF(Data1!G44="","",Data1!G44)</f>
        <v>5</v>
      </c>
      <c r="W12" s="201">
        <f>IF(Data1!H44="","",Data1!H44)</f>
        <v>5</v>
      </c>
      <c r="X12" s="201">
        <f>IF(Data1!I32="","",Data1!I32)</f>
        <v>0</v>
      </c>
      <c r="Y12" s="201">
        <f>IF(Data1!J32="","",Data1!J32)</f>
        <v>0</v>
      </c>
      <c r="Z12" s="201">
        <f>IF(Data1!K32="","",Data1!K32)</f>
        <v>0</v>
      </c>
      <c r="AA12" s="201" t="str">
        <f>IF(Data1!L32="","",Data1!L32)</f>
        <v/>
      </c>
      <c r="AB12" s="201" t="str">
        <f>IF(Data1!M32="","",Data1!M32)</f>
        <v/>
      </c>
    </row>
    <row r="13" spans="1:28" ht="15.75" customHeight="1">
      <c r="A13" s="73">
        <v>2</v>
      </c>
      <c r="B13" s="201" t="s">
        <v>118</v>
      </c>
      <c r="C13" s="201">
        <v>5</v>
      </c>
      <c r="D13" s="201">
        <v>5</v>
      </c>
      <c r="E13" s="201">
        <v>4</v>
      </c>
      <c r="F13" s="201">
        <v>5</v>
      </c>
      <c r="G13" s="201">
        <v>3</v>
      </c>
      <c r="H13" s="159"/>
      <c r="I13" s="159"/>
      <c r="J13" s="159"/>
      <c r="K13" s="159"/>
      <c r="L13" s="159"/>
      <c r="O13" s="6">
        <v>3</v>
      </c>
      <c r="P13" s="201">
        <f>IF(Data1!N37="","",Data1!N37)</f>
        <v>10</v>
      </c>
      <c r="Q13" s="202">
        <f>Data1!B37</f>
        <v>14</v>
      </c>
      <c r="R13" s="201" t="str">
        <f>IF(Data1!C37="","",Data1!C37)</f>
        <v>KHAVIFA DEWI AYU AMALIAH ACHMAD</v>
      </c>
      <c r="S13" s="201">
        <f>IF(Data1!D37="","",Data1!D37)</f>
        <v>0</v>
      </c>
      <c r="T13" s="201">
        <f>IF(Data1!E37="","",Data1!E37)</f>
        <v>0</v>
      </c>
      <c r="U13" s="201">
        <f>IF(Data1!F37="","",Data1!F37)</f>
        <v>0</v>
      </c>
      <c r="V13" s="201">
        <f>IF(Data1!G37="","",Data1!G37)</f>
        <v>0</v>
      </c>
      <c r="W13" s="201">
        <f>IF(Data1!H37="","",Data1!H37)</f>
        <v>5</v>
      </c>
      <c r="X13" s="201">
        <f>IF(Data1!I46="","",Data1!I46)</f>
        <v>5</v>
      </c>
      <c r="Y13" s="201">
        <f>IF(Data1!J46="","",Data1!J46)</f>
        <v>0</v>
      </c>
      <c r="Z13" s="201">
        <f>IF(Data1!K46="","",Data1!K46)</f>
        <v>5</v>
      </c>
      <c r="AA13" s="201" t="str">
        <f>IF(Data1!L46="","",Data1!L46)</f>
        <v/>
      </c>
      <c r="AB13" s="201" t="str">
        <f>IF(Data1!M46="","",Data1!M46)</f>
        <v/>
      </c>
    </row>
    <row r="14" spans="1:28" ht="15.75" customHeight="1">
      <c r="A14" s="73">
        <v>3</v>
      </c>
      <c r="B14" s="201" t="s">
        <v>114</v>
      </c>
      <c r="C14" s="201">
        <v>5</v>
      </c>
      <c r="D14" s="201">
        <v>5</v>
      </c>
      <c r="E14" s="201">
        <v>5</v>
      </c>
      <c r="F14" s="201">
        <v>1</v>
      </c>
      <c r="G14" s="201">
        <v>5</v>
      </c>
      <c r="H14" s="159"/>
      <c r="I14" s="159"/>
      <c r="J14" s="159"/>
      <c r="K14" s="159"/>
      <c r="L14" s="159"/>
      <c r="O14" s="6">
        <v>4</v>
      </c>
      <c r="P14" s="201">
        <f>IF(Data1!N50="","",Data1!N50)</f>
        <v>10</v>
      </c>
      <c r="Q14" s="202">
        <f>Data1!B50</f>
        <v>27</v>
      </c>
      <c r="R14" s="201" t="str">
        <f>IF(Data1!C50="","",Data1!C50)</f>
        <v>NURFADILAH</v>
      </c>
      <c r="S14" s="201">
        <f>IF(Data1!D50="","",Data1!D50)</f>
        <v>5</v>
      </c>
      <c r="T14" s="201">
        <f>IF(Data1!E50="","",Data1!E50)</f>
        <v>0</v>
      </c>
      <c r="U14" s="201">
        <f>IF(Data1!F50="","",Data1!F50)</f>
        <v>5</v>
      </c>
      <c r="V14" s="201">
        <f>IF(Data1!G50="","",Data1!G50)</f>
        <v>0</v>
      </c>
      <c r="W14" s="201">
        <f>IF(Data1!H50="","",Data1!H50)</f>
        <v>0</v>
      </c>
      <c r="X14" s="201">
        <f>IF(Data1!I50="","",Data1!I50)</f>
        <v>0</v>
      </c>
      <c r="Y14" s="201">
        <f>IF(Data1!J50="","",Data1!J50)</f>
        <v>0</v>
      </c>
      <c r="Z14" s="201">
        <f>IF(Data1!K50="","",Data1!K50)</f>
        <v>0</v>
      </c>
      <c r="AA14" s="201" t="str">
        <f>IF(Data1!L50="","",Data1!L50)</f>
        <v/>
      </c>
      <c r="AB14" s="201" t="str">
        <f>IF(Data1!M50="","",Data1!M50)</f>
        <v/>
      </c>
    </row>
    <row r="15" spans="1:28" ht="15.75" customHeight="1">
      <c r="A15" s="73">
        <v>4</v>
      </c>
      <c r="B15" s="201" t="s">
        <v>121</v>
      </c>
      <c r="C15" s="201">
        <v>5</v>
      </c>
      <c r="D15" s="201">
        <v>1</v>
      </c>
      <c r="E15" s="201">
        <v>4</v>
      </c>
      <c r="F15" s="201">
        <v>5</v>
      </c>
      <c r="G15" s="201">
        <v>5</v>
      </c>
      <c r="H15" s="159"/>
      <c r="I15" s="159"/>
      <c r="J15" s="159"/>
      <c r="K15" s="159"/>
      <c r="L15" s="159"/>
      <c r="O15" s="6">
        <v>5</v>
      </c>
      <c r="P15" s="201" t="str">
        <f>IF(Data1!N49="","",Data1!N49)</f>
        <v/>
      </c>
      <c r="Q15" s="202">
        <f>Data1!B49</f>
        <v>26</v>
      </c>
      <c r="R15" s="201" t="str">
        <f>IF(Data1!C49="","",Data1!C49)</f>
        <v>NUR HAZIRAH</v>
      </c>
      <c r="S15" s="201">
        <f>IF(Data1!D49="","",Data1!D49)</f>
        <v>0</v>
      </c>
      <c r="T15" s="201">
        <f>IF(Data1!E49="","",Data1!E49)</f>
        <v>0</v>
      </c>
      <c r="U15" s="201">
        <f>IF(Data1!F49="","",Data1!F49)</f>
        <v>0</v>
      </c>
      <c r="V15" s="201">
        <f>IF(Data1!G49="","",Data1!G49)</f>
        <v>0</v>
      </c>
      <c r="W15" s="201">
        <f>IF(Data1!H49="","",Data1!H49)</f>
        <v>0</v>
      </c>
      <c r="X15" s="201">
        <f>IF(Data1!I49="","",Data1!I49)</f>
        <v>0</v>
      </c>
      <c r="Y15" s="201">
        <f>IF(Data1!J49="","",Data1!J49)</f>
        <v>0</v>
      </c>
      <c r="Z15" s="201">
        <f>IF(Data1!K49="","",Data1!K49)</f>
        <v>0</v>
      </c>
      <c r="AA15" s="201" t="str">
        <f>IF(Data1!L49="","",Data1!L49)</f>
        <v/>
      </c>
      <c r="AB15" s="201" t="str">
        <f>IF(Data1!M49="","",Data1!M49)</f>
        <v/>
      </c>
    </row>
    <row r="16" spans="1:28" ht="15.75" customHeight="1">
      <c r="A16" s="73">
        <v>5</v>
      </c>
      <c r="B16" s="201" t="s">
        <v>120</v>
      </c>
      <c r="C16" s="201">
        <v>1</v>
      </c>
      <c r="D16" s="201">
        <v>5</v>
      </c>
      <c r="E16" s="201">
        <v>5</v>
      </c>
      <c r="F16" s="201">
        <v>5</v>
      </c>
      <c r="G16" s="201">
        <v>3</v>
      </c>
      <c r="H16" s="159"/>
      <c r="I16" s="159"/>
      <c r="J16" s="159"/>
      <c r="K16" s="159"/>
      <c r="L16" s="159"/>
      <c r="O16" s="6">
        <v>6</v>
      </c>
      <c r="P16" s="201">
        <f>IF(Data1!N52="","",Data1!N52)</f>
        <v>5</v>
      </c>
      <c r="Q16" s="202">
        <f>Data1!B52</f>
        <v>29</v>
      </c>
      <c r="R16" s="201" t="str">
        <f>IF(Data1!C52="","",Data1!C52)</f>
        <v>SIGIT ARI DJAYADI</v>
      </c>
      <c r="S16" s="201">
        <f>IF(Data1!D52="","",Data1!D52)</f>
        <v>5</v>
      </c>
      <c r="T16" s="201">
        <f>IF(Data1!E52="","",Data1!E52)</f>
        <v>0</v>
      </c>
      <c r="U16" s="201">
        <f>IF(Data1!F52="","",Data1!F52)</f>
        <v>0</v>
      </c>
      <c r="V16" s="201">
        <f>IF(Data1!G52="","",Data1!G52)</f>
        <v>0</v>
      </c>
      <c r="W16" s="201">
        <f>IF(Data1!H52="","",Data1!H52)</f>
        <v>0</v>
      </c>
      <c r="X16" s="201">
        <f>IF(Data1!I52="","",Data1!I52)</f>
        <v>0</v>
      </c>
      <c r="Y16" s="201">
        <f>IF(Data1!J52="","",Data1!J52)</f>
        <v>0</v>
      </c>
      <c r="Z16" s="201">
        <f>IF(Data1!K52="","",Data1!K52)</f>
        <v>0</v>
      </c>
      <c r="AA16" s="201" t="str">
        <f>IF(Data1!L52="","",Data1!L52)</f>
        <v/>
      </c>
      <c r="AB16" s="201" t="str">
        <f>IF(Data1!M52="","",Data1!M52)</f>
        <v/>
      </c>
    </row>
    <row r="17" spans="1:28" ht="15.75" customHeight="1">
      <c r="A17" s="73">
        <v>6</v>
      </c>
      <c r="B17" s="201" t="s">
        <v>123</v>
      </c>
      <c r="C17" s="201">
        <v>5</v>
      </c>
      <c r="D17" s="201">
        <v>1</v>
      </c>
      <c r="E17" s="201">
        <v>5</v>
      </c>
      <c r="F17" s="201">
        <v>5</v>
      </c>
      <c r="G17" s="201">
        <v>3</v>
      </c>
      <c r="H17" s="159"/>
      <c r="I17" s="159"/>
      <c r="J17" s="159"/>
      <c r="K17" s="159"/>
      <c r="L17" s="159"/>
      <c r="O17" s="6">
        <v>7</v>
      </c>
      <c r="P17" s="201">
        <f>IF(Data1!N26="","",Data1!N26)</f>
        <v>35</v>
      </c>
      <c r="Q17" s="202">
        <f>Data1!B26</f>
        <v>3</v>
      </c>
      <c r="R17" s="201" t="str">
        <f>IF(Data1!C26="","",Data1!C26)</f>
        <v>AMIR</v>
      </c>
      <c r="S17" s="201">
        <f>IF(Data1!D26="","",Data1!D26)</f>
        <v>5</v>
      </c>
      <c r="T17" s="201">
        <f>IF(Data1!E26="","",Data1!E26)</f>
        <v>5</v>
      </c>
      <c r="U17" s="201">
        <f>IF(Data1!F26="","",Data1!F26)</f>
        <v>0</v>
      </c>
      <c r="V17" s="201">
        <f>IF(Data1!G26="","",Data1!G26)</f>
        <v>5</v>
      </c>
      <c r="W17" s="201">
        <f>IF(Data1!H26="","",Data1!H26)</f>
        <v>5</v>
      </c>
      <c r="X17" s="201">
        <f>IF(Data1!I45="","",Data1!I45)</f>
        <v>5</v>
      </c>
      <c r="Y17" s="201">
        <f>IF(Data1!J45="","",Data1!J45)</f>
        <v>0</v>
      </c>
      <c r="Z17" s="201">
        <f>IF(Data1!K45="","",Data1!K45)</f>
        <v>0</v>
      </c>
      <c r="AA17" s="201" t="str">
        <f>IF(Data1!L45="","",Data1!L45)</f>
        <v/>
      </c>
      <c r="AB17" s="201" t="str">
        <f>IF(Data1!M45="","",Data1!M45)</f>
        <v/>
      </c>
    </row>
    <row r="18" spans="1:28" ht="15.75" customHeight="1">
      <c r="A18" s="73">
        <v>7</v>
      </c>
      <c r="B18" s="201" t="s">
        <v>107</v>
      </c>
      <c r="C18" s="201">
        <v>5</v>
      </c>
      <c r="D18" s="201">
        <v>1</v>
      </c>
      <c r="E18" s="201">
        <v>4</v>
      </c>
      <c r="F18" s="201">
        <v>5</v>
      </c>
      <c r="G18" s="201">
        <v>3</v>
      </c>
      <c r="H18" s="159"/>
      <c r="I18" s="159"/>
      <c r="J18" s="159"/>
      <c r="K18" s="159"/>
      <c r="L18" s="159"/>
      <c r="O18" s="6">
        <v>8</v>
      </c>
      <c r="P18" s="201">
        <f>IF(Data1!N29="","",Data1!N29)</f>
        <v>15</v>
      </c>
      <c r="Q18" s="202">
        <f>Data1!B29</f>
        <v>6</v>
      </c>
      <c r="R18" s="201" t="str">
        <f>IF(Data1!C29="","",Data1!C29)</f>
        <v>EFA RIANA</v>
      </c>
      <c r="S18" s="201">
        <f>IF(Data1!D29="","",Data1!D29)</f>
        <v>5</v>
      </c>
      <c r="T18" s="201">
        <f>IF(Data1!E29="","",Data1!E29)</f>
        <v>0</v>
      </c>
      <c r="U18" s="201">
        <f>IF(Data1!F29="","",Data1!F29)</f>
        <v>5</v>
      </c>
      <c r="V18" s="201">
        <f>IF(Data1!G29="","",Data1!G29)</f>
        <v>0</v>
      </c>
      <c r="W18" s="201">
        <f>IF(Data1!H29="","",Data1!H29)</f>
        <v>0</v>
      </c>
      <c r="X18" s="201">
        <f>IF(Data1!I26="","",Data1!I26)</f>
        <v>5</v>
      </c>
      <c r="Y18" s="201">
        <f>IF(Data1!J26="","",Data1!J26)</f>
        <v>5</v>
      </c>
      <c r="Z18" s="201">
        <f>IF(Data1!K26="","",Data1!K26)</f>
        <v>5</v>
      </c>
      <c r="AA18" s="201" t="str">
        <f>IF(Data1!L26="","",Data1!L26)</f>
        <v/>
      </c>
      <c r="AB18" s="201" t="str">
        <f>IF(Data1!M26="","",Data1!M26)</f>
        <v/>
      </c>
    </row>
    <row r="19" spans="1:28" ht="15.75" customHeight="1">
      <c r="A19" s="73">
        <v>8</v>
      </c>
      <c r="B19" s="201" t="s">
        <v>109</v>
      </c>
      <c r="C19" s="201">
        <v>5</v>
      </c>
      <c r="D19" s="201">
        <v>5</v>
      </c>
      <c r="E19" s="201">
        <v>0</v>
      </c>
      <c r="F19" s="201">
        <v>5</v>
      </c>
      <c r="G19" s="201">
        <v>3</v>
      </c>
      <c r="H19" s="159"/>
      <c r="I19" s="159"/>
      <c r="J19" s="159"/>
      <c r="K19" s="159"/>
      <c r="L19" s="159"/>
      <c r="O19" s="6">
        <v>9</v>
      </c>
      <c r="P19" s="201" t="str">
        <f>IF(Data1!N30="","",Data1!N30)</f>
        <v/>
      </c>
      <c r="Q19" s="202">
        <f>Data1!B30</f>
        <v>7</v>
      </c>
      <c r="R19" s="201" t="str">
        <f>IF(Data1!C30="","",Data1!C30)</f>
        <v>EKA FITRIANI</v>
      </c>
      <c r="S19" s="201">
        <f>IF(Data1!D30="","",Data1!D30)</f>
        <v>0</v>
      </c>
      <c r="T19" s="201">
        <f>IF(Data1!E30="","",Data1!E30)</f>
        <v>0</v>
      </c>
      <c r="U19" s="201">
        <f>IF(Data1!F30="","",Data1!F30)</f>
        <v>0</v>
      </c>
      <c r="V19" s="201">
        <f>IF(Data1!G30="","",Data1!G30)</f>
        <v>0</v>
      </c>
      <c r="W19" s="201">
        <f>IF(Data1!H30="","",Data1!H30)</f>
        <v>0</v>
      </c>
      <c r="X19" s="201">
        <f>IF(Data1!I34="","",Data1!I34)</f>
        <v>5</v>
      </c>
      <c r="Y19" s="201">
        <f>IF(Data1!J34="","",Data1!J34)</f>
        <v>5</v>
      </c>
      <c r="Z19" s="201">
        <f>IF(Data1!K34="","",Data1!K34)</f>
        <v>5</v>
      </c>
      <c r="AA19" s="201" t="str">
        <f>IF(Data1!L34="","",Data1!L34)</f>
        <v/>
      </c>
      <c r="AB19" s="201" t="str">
        <f>IF(Data1!M34="","",Data1!M34)</f>
        <v/>
      </c>
    </row>
    <row r="20" spans="1:28" ht="15.75" customHeight="1">
      <c r="A20" s="73">
        <v>9</v>
      </c>
      <c r="B20" s="201" t="s">
        <v>110</v>
      </c>
      <c r="C20" s="201">
        <v>5</v>
      </c>
      <c r="D20" s="201">
        <v>1</v>
      </c>
      <c r="E20" s="201">
        <v>5</v>
      </c>
      <c r="F20" s="201">
        <v>4</v>
      </c>
      <c r="G20" s="201">
        <v>3</v>
      </c>
      <c r="H20" s="159"/>
      <c r="I20" s="159"/>
      <c r="J20" s="159"/>
      <c r="K20" s="159"/>
      <c r="L20" s="159"/>
      <c r="O20" s="6">
        <v>10</v>
      </c>
      <c r="P20" s="201">
        <f>IF(Data1!N56="","",Data1!N56)</f>
        <v>15</v>
      </c>
      <c r="Q20" s="202">
        <f>Data1!B56</f>
        <v>33</v>
      </c>
      <c r="R20" s="201" t="str">
        <f>IF(Data1!C56="","",Data1!C56)</f>
        <v>WHIRANATHA</v>
      </c>
      <c r="S20" s="201">
        <f>IF(Data1!D56="","",Data1!D56)</f>
        <v>5</v>
      </c>
      <c r="T20" s="201">
        <f>IF(Data1!E56="","",Data1!E56)</f>
        <v>0</v>
      </c>
      <c r="U20" s="201">
        <f>IF(Data1!F56="","",Data1!F56)</f>
        <v>0</v>
      </c>
      <c r="V20" s="201">
        <f>IF(Data1!G56="","",Data1!G56)</f>
        <v>0</v>
      </c>
      <c r="W20" s="201">
        <f>IF(Data1!H56="","",Data1!H56)</f>
        <v>5</v>
      </c>
      <c r="X20" s="201">
        <f>IF(Data1!I56="","",Data1!I56)</f>
        <v>0</v>
      </c>
      <c r="Y20" s="201">
        <f>IF(Data1!J56="","",Data1!J56)</f>
        <v>5</v>
      </c>
      <c r="Z20" s="201">
        <f>IF(Data1!K56="","",Data1!K56)</f>
        <v>0</v>
      </c>
      <c r="AA20" s="201" t="str">
        <f>IF(Data1!L56="","",Data1!L56)</f>
        <v/>
      </c>
      <c r="AB20" s="201" t="str">
        <f>IF(Data1!M56="","",Data1!M56)</f>
        <v/>
      </c>
    </row>
    <row r="21" spans="1:28" ht="15.75" customHeight="1">
      <c r="A21" s="73">
        <v>10</v>
      </c>
      <c r="B21" s="158" t="s">
        <v>125</v>
      </c>
      <c r="C21" s="159">
        <v>5</v>
      </c>
      <c r="D21" s="159">
        <v>1</v>
      </c>
      <c r="E21" s="159">
        <v>5</v>
      </c>
      <c r="F21" s="159">
        <v>5</v>
      </c>
      <c r="G21" s="159">
        <v>2</v>
      </c>
      <c r="H21" s="159"/>
      <c r="I21" s="159"/>
      <c r="J21" s="159"/>
      <c r="K21" s="159"/>
      <c r="L21" s="159"/>
      <c r="O21" s="6">
        <v>11</v>
      </c>
      <c r="P21" s="201">
        <f>IF(Data1!N33="","",Data1!N33)</f>
        <v>25</v>
      </c>
      <c r="Q21" s="202">
        <f>Data1!B33</f>
        <v>10</v>
      </c>
      <c r="R21" s="201" t="str">
        <f>IF(Data1!C33="","",Data1!C33)</f>
        <v>FEBRIYANTI</v>
      </c>
      <c r="S21" s="201">
        <f>IF(Data1!D33="","",Data1!D33)</f>
        <v>5</v>
      </c>
      <c r="T21" s="201">
        <f>IF(Data1!E33="","",Data1!E33)</f>
        <v>5</v>
      </c>
      <c r="U21" s="201">
        <f>IF(Data1!F33="","",Data1!F33)</f>
        <v>5</v>
      </c>
      <c r="V21" s="201">
        <f>IF(Data1!G33="","",Data1!G33)</f>
        <v>0</v>
      </c>
      <c r="W21" s="201">
        <f>IF(Data1!H33="","",Data1!H33)</f>
        <v>5</v>
      </c>
      <c r="X21" s="201">
        <f>IF(Data1!I43="","",Data1!I43)</f>
        <v>0</v>
      </c>
      <c r="Y21" s="201">
        <f>IF(Data1!J43="","",Data1!J43)</f>
        <v>0</v>
      </c>
      <c r="Z21" s="201">
        <f>IF(Data1!K43="","",Data1!K43)</f>
        <v>5</v>
      </c>
      <c r="AA21" s="201" t="str">
        <f>IF(Data1!L43="","",Data1!L43)</f>
        <v/>
      </c>
      <c r="AB21" s="201" t="str">
        <f>IF(Data1!M43="","",Data1!M43)</f>
        <v/>
      </c>
    </row>
    <row r="22" spans="1:28" ht="15.75" customHeight="1">
      <c r="A22" s="73">
        <v>11</v>
      </c>
      <c r="B22" s="158"/>
      <c r="C22" s="159"/>
      <c r="D22" s="159"/>
      <c r="E22" s="159"/>
      <c r="F22" s="159"/>
      <c r="G22" s="159"/>
      <c r="H22" s="159"/>
      <c r="I22" s="159"/>
      <c r="J22" s="159"/>
      <c r="K22" s="159"/>
      <c r="L22" s="159"/>
      <c r="O22" s="6">
        <v>12</v>
      </c>
      <c r="P22" s="201">
        <f>IF(Data1!N54="","",Data1!N54)</f>
        <v>25</v>
      </c>
      <c r="Q22" s="202">
        <f>Data1!B54</f>
        <v>31</v>
      </c>
      <c r="R22" s="201" t="str">
        <f>IF(Data1!C54="","",Data1!C54)</f>
        <v>SUPARDI</v>
      </c>
      <c r="S22" s="201">
        <f>IF(Data1!D54="","",Data1!D54)</f>
        <v>5</v>
      </c>
      <c r="T22" s="201">
        <f>IF(Data1!E54="","",Data1!E54)</f>
        <v>0</v>
      </c>
      <c r="U22" s="201">
        <f>IF(Data1!F54="","",Data1!F54)</f>
        <v>5</v>
      </c>
      <c r="V22" s="201">
        <f>IF(Data1!G54="","",Data1!G54)</f>
        <v>5</v>
      </c>
      <c r="W22" s="201">
        <f>IF(Data1!H54="","",Data1!H54)</f>
        <v>5</v>
      </c>
      <c r="X22" s="201">
        <f>IF(Data1!I54="","",Data1!I54)</f>
        <v>0</v>
      </c>
      <c r="Y22" s="201">
        <f>IF(Data1!J54="","",Data1!J54)</f>
        <v>5</v>
      </c>
      <c r="Z22" s="201">
        <f>IF(Data1!K54="","",Data1!K54)</f>
        <v>0</v>
      </c>
      <c r="AA22" s="201" t="str">
        <f>IF(Data1!L54="","",Data1!L54)</f>
        <v/>
      </c>
      <c r="AB22" s="201" t="str">
        <f>IF(Data1!M54="","",Data1!M54)</f>
        <v/>
      </c>
    </row>
    <row r="23" spans="1:28" ht="15.75" customHeight="1">
      <c r="A23" s="73">
        <v>12</v>
      </c>
      <c r="B23" s="158"/>
      <c r="C23" s="159"/>
      <c r="D23" s="159"/>
      <c r="E23" s="159"/>
      <c r="F23" s="159"/>
      <c r="G23" s="159"/>
      <c r="H23" s="159"/>
      <c r="I23" s="159"/>
      <c r="J23" s="159"/>
      <c r="K23" s="159"/>
      <c r="L23" s="159"/>
      <c r="O23" s="6">
        <v>13</v>
      </c>
      <c r="P23" s="201">
        <f>IF(Data1!N47="","",Data1!N47)</f>
        <v>10</v>
      </c>
      <c r="Q23" s="202">
        <f>Data1!B47</f>
        <v>24</v>
      </c>
      <c r="R23" s="201" t="str">
        <f>IF(Data1!C47="","",Data1!C47)</f>
        <v>MUHAMMAD SYAHRIL RAMADHAN</v>
      </c>
      <c r="S23" s="201">
        <f>IF(Data1!D47="","",Data1!D47)</f>
        <v>5</v>
      </c>
      <c r="T23" s="201">
        <f>IF(Data1!E47="","",Data1!E47)</f>
        <v>0</v>
      </c>
      <c r="U23" s="201">
        <f>IF(Data1!F47="","",Data1!F47)</f>
        <v>5</v>
      </c>
      <c r="V23" s="201">
        <f>IF(Data1!G47="","",Data1!G47)</f>
        <v>0</v>
      </c>
      <c r="W23" s="201">
        <f>IF(Data1!H47="","",Data1!H47)</f>
        <v>0</v>
      </c>
      <c r="X23" s="201">
        <f>IF(Data1!I28="","",Data1!I28)</f>
        <v>0</v>
      </c>
      <c r="Y23" s="201">
        <f>IF(Data1!J28="","",Data1!J28)</f>
        <v>5</v>
      </c>
      <c r="Z23" s="201">
        <f>IF(Data1!K28="","",Data1!K28)</f>
        <v>0</v>
      </c>
      <c r="AA23" s="201" t="str">
        <f>IF(Data1!L28="","",Data1!L28)</f>
        <v/>
      </c>
      <c r="AB23" s="201" t="str">
        <f>IF(Data1!M28="","",Data1!M28)</f>
        <v/>
      </c>
    </row>
    <row r="24" spans="1:28" ht="15.75" customHeight="1">
      <c r="A24" s="73">
        <v>13</v>
      </c>
      <c r="B24" s="158"/>
      <c r="C24" s="159"/>
      <c r="D24" s="159"/>
      <c r="E24" s="159"/>
      <c r="F24" s="159"/>
      <c r="G24" s="159"/>
      <c r="H24" s="159"/>
      <c r="I24" s="159"/>
      <c r="J24" s="159"/>
      <c r="K24" s="159"/>
      <c r="L24" s="159"/>
      <c r="O24" s="6">
        <v>14</v>
      </c>
      <c r="P24" s="201">
        <f>IF(Data1!N24="","",Data1!N24)</f>
        <v>10</v>
      </c>
      <c r="Q24" s="202">
        <f>Data1!B24</f>
        <v>1</v>
      </c>
      <c r="R24" s="201" t="str">
        <f>IF(Data1!C24="","",Data1!C24)</f>
        <v>ALIF AKBAR</v>
      </c>
      <c r="S24" s="201">
        <f>IF(Data1!D24="","",Data1!D24)</f>
        <v>5</v>
      </c>
      <c r="T24" s="201">
        <f>IF(Data1!E24="","",Data1!E24)</f>
        <v>0</v>
      </c>
      <c r="U24" s="201">
        <f>IF(Data1!F24="","",Data1!F24)</f>
        <v>0</v>
      </c>
      <c r="V24" s="201">
        <f>IF(Data1!G24="","",Data1!G24)</f>
        <v>0</v>
      </c>
      <c r="W24" s="201">
        <f>IF(Data1!H24="","",Data1!H24)</f>
        <v>0</v>
      </c>
      <c r="X24" s="201">
        <f>IF(Data1!I41="","",Data1!I41)</f>
        <v>0</v>
      </c>
      <c r="Y24" s="201">
        <f>IF(Data1!J41="","",Data1!J41)</f>
        <v>5</v>
      </c>
      <c r="Z24" s="201">
        <f>IF(Data1!K41="","",Data1!K41)</f>
        <v>0</v>
      </c>
      <c r="AA24" s="201" t="str">
        <f>IF(Data1!L41="","",Data1!L41)</f>
        <v/>
      </c>
      <c r="AB24" s="201" t="str">
        <f>IF(Data1!M41="","",Data1!M41)</f>
        <v/>
      </c>
    </row>
    <row r="25" spans="1:28" ht="24.95" customHeight="1">
      <c r="A25" s="333" t="s">
        <v>57</v>
      </c>
      <c r="B25" s="333"/>
      <c r="C25" s="60">
        <f t="shared" ref="C25:L25" si="0">IF(SUM(C12:C24)=0,"",SUM(C12:C24))</f>
        <v>46</v>
      </c>
      <c r="D25" s="60">
        <f t="shared" si="0"/>
        <v>30</v>
      </c>
      <c r="E25" s="60">
        <f t="shared" si="0"/>
        <v>41</v>
      </c>
      <c r="F25" s="60">
        <f t="shared" si="0"/>
        <v>45</v>
      </c>
      <c r="G25" s="60">
        <f t="shared" si="0"/>
        <v>35</v>
      </c>
      <c r="H25" s="60" t="str">
        <f t="shared" si="0"/>
        <v/>
      </c>
      <c r="I25" s="60" t="str">
        <f t="shared" si="0"/>
        <v/>
      </c>
      <c r="J25" s="60" t="str">
        <f t="shared" si="0"/>
        <v/>
      </c>
      <c r="K25" s="60" t="str">
        <f t="shared" si="0"/>
        <v/>
      </c>
      <c r="L25" s="60" t="str">
        <f t="shared" si="0"/>
        <v/>
      </c>
      <c r="O25" s="6">
        <v>15</v>
      </c>
      <c r="P25" s="201">
        <f>IF(Data1!N27="","",Data1!N27)</f>
        <v>25</v>
      </c>
      <c r="Q25" s="202">
        <f>Data1!B27</f>
        <v>4</v>
      </c>
      <c r="R25" s="201" t="str">
        <f>IF(Data1!C27="","",Data1!C27)</f>
        <v>ASWADILSYAH</v>
      </c>
      <c r="S25" s="201">
        <f>IF(Data1!D27="","",Data1!D27)</f>
        <v>5</v>
      </c>
      <c r="T25" s="201">
        <f>IF(Data1!E27="","",Data1!E27)</f>
        <v>0</v>
      </c>
      <c r="U25" s="201">
        <f>IF(Data1!F27="","",Data1!F27)</f>
        <v>0</v>
      </c>
      <c r="V25" s="201">
        <f>IF(Data1!G27="","",Data1!G27)</f>
        <v>5</v>
      </c>
      <c r="W25" s="201">
        <f>IF(Data1!H27="","",Data1!H27)</f>
        <v>5</v>
      </c>
      <c r="X25" s="201">
        <f>IF(Data1!I33="","",Data1!I33)</f>
        <v>0</v>
      </c>
      <c r="Y25" s="201">
        <f>IF(Data1!J33="","",Data1!J33)</f>
        <v>5</v>
      </c>
      <c r="Z25" s="201">
        <f>IF(Data1!K33="","",Data1!K33)</f>
        <v>0</v>
      </c>
      <c r="AA25" s="201" t="str">
        <f>IF(Data1!L33="","",Data1!L33)</f>
        <v/>
      </c>
      <c r="AB25" s="201" t="str">
        <f>IF(Data1!M33="","",Data1!M33)</f>
        <v/>
      </c>
    </row>
    <row r="26" spans="1:28" s="14" customFormat="1" ht="21" customHeight="1">
      <c r="A26" s="333" t="s">
        <v>48</v>
      </c>
      <c r="B26" s="333"/>
      <c r="C26" s="60">
        <f t="shared" ref="C26:L26" si="1">IF(SUM(C12:C24)=0,"", AVERAGE(C12:C24))</f>
        <v>4.5999999999999996</v>
      </c>
      <c r="D26" s="60">
        <f t="shared" si="1"/>
        <v>3</v>
      </c>
      <c r="E26" s="60">
        <f t="shared" si="1"/>
        <v>4.0999999999999996</v>
      </c>
      <c r="F26" s="60">
        <f t="shared" si="1"/>
        <v>4.5</v>
      </c>
      <c r="G26" s="60">
        <f t="shared" si="1"/>
        <v>3.5</v>
      </c>
      <c r="H26" s="60" t="str">
        <f t="shared" si="1"/>
        <v/>
      </c>
      <c r="I26" s="60" t="str">
        <f t="shared" si="1"/>
        <v/>
      </c>
      <c r="J26" s="60" t="str">
        <f t="shared" si="1"/>
        <v/>
      </c>
      <c r="K26" s="60" t="str">
        <f t="shared" si="1"/>
        <v/>
      </c>
      <c r="L26" s="60" t="str">
        <f t="shared" si="1"/>
        <v/>
      </c>
      <c r="O26" s="6">
        <v>16</v>
      </c>
      <c r="P26" s="201">
        <f>IF(Data1!N42="","",Data1!N42)</f>
        <v>35</v>
      </c>
      <c r="Q26" s="202">
        <f>Data1!B42</f>
        <v>19</v>
      </c>
      <c r="R26" s="201" t="str">
        <f>IF(Data1!C42="","",Data1!C42)</f>
        <v>MUHAMMAD ALFIAN BAKTI S.</v>
      </c>
      <c r="S26" s="201">
        <f>IF(Data1!D42="","",Data1!D42)</f>
        <v>5</v>
      </c>
      <c r="T26" s="201">
        <f>IF(Data1!E42="","",Data1!E42)</f>
        <v>5</v>
      </c>
      <c r="U26" s="201">
        <f>IF(Data1!F42="","",Data1!F42)</f>
        <v>5</v>
      </c>
      <c r="V26" s="201">
        <f>IF(Data1!G42="","",Data1!G42)</f>
        <v>5</v>
      </c>
      <c r="W26" s="201">
        <f>IF(Data1!H42="","",Data1!H42)</f>
        <v>5</v>
      </c>
      <c r="X26" s="201">
        <f>IF(Data1!I40="","",Data1!I40)</f>
        <v>0</v>
      </c>
      <c r="Y26" s="201">
        <f>IF(Data1!J40="","",Data1!J40)</f>
        <v>0</v>
      </c>
      <c r="Z26" s="201">
        <f>IF(Data1!K40="","",Data1!K40)</f>
        <v>0</v>
      </c>
      <c r="AA26" s="201" t="str">
        <f>IF(Data1!L40="","",Data1!L40)</f>
        <v/>
      </c>
      <c r="AB26" s="201" t="str">
        <f>IF(Data1!M40="","",Data1!M40)</f>
        <v/>
      </c>
    </row>
    <row r="27" spans="1:28">
      <c r="O27" s="6">
        <v>17</v>
      </c>
      <c r="P27" s="201">
        <f>IF(Data1!N32="","",Data1!N32)</f>
        <v>5</v>
      </c>
      <c r="Q27" s="202">
        <f>Data1!B32</f>
        <v>9</v>
      </c>
      <c r="R27" s="201" t="str">
        <f>IF(Data1!C32="","",Data1!C32)</f>
        <v>FARADILLA RAHMAN</v>
      </c>
      <c r="S27" s="201">
        <f>IF(Data1!D32="","",Data1!D32)</f>
        <v>5</v>
      </c>
      <c r="T27" s="201">
        <f>IF(Data1!E32="","",Data1!E32)</f>
        <v>0</v>
      </c>
      <c r="U27" s="201">
        <f>IF(Data1!F32="","",Data1!F32)</f>
        <v>0</v>
      </c>
      <c r="V27" s="201">
        <f>IF(Data1!G32="","",Data1!G32)</f>
        <v>0</v>
      </c>
      <c r="W27" s="201">
        <f>IF(Data1!H32="","",Data1!H32)</f>
        <v>0</v>
      </c>
      <c r="X27" s="201">
        <f>IF(Data1!I42="","",Data1!I42)</f>
        <v>5</v>
      </c>
      <c r="Y27" s="201">
        <f>IF(Data1!J42="","",Data1!J42)</f>
        <v>5</v>
      </c>
      <c r="Z27" s="201">
        <f>IF(Data1!K42="","",Data1!K42)</f>
        <v>0</v>
      </c>
      <c r="AA27" s="201" t="str">
        <f>IF(Data1!L42="","",Data1!L42)</f>
        <v/>
      </c>
      <c r="AB27" s="201" t="str">
        <f>IF(Data1!M42="","",Data1!M42)</f>
        <v/>
      </c>
    </row>
    <row r="28" spans="1:28" ht="24.95" customHeight="1">
      <c r="A28" s="331" t="s">
        <v>6</v>
      </c>
      <c r="B28" s="332"/>
      <c r="C28" s="332"/>
      <c r="D28" s="332"/>
      <c r="E28" s="332"/>
      <c r="F28" s="332"/>
      <c r="G28" s="332"/>
      <c r="H28" s="332"/>
      <c r="I28" s="332"/>
      <c r="J28" s="332"/>
      <c r="K28" s="332"/>
      <c r="L28" s="332"/>
      <c r="O28" s="6">
        <v>18</v>
      </c>
      <c r="P28" s="201" t="str">
        <f>IF(Data1!N38="","",Data1!N38)</f>
        <v/>
      </c>
      <c r="Q28" s="202">
        <f>Data1!B38</f>
        <v>15</v>
      </c>
      <c r="R28" s="201" t="str">
        <f>IF(Data1!C38="","",Data1!C38)</f>
        <v>LA ODE MUHAMMAD AFANDI</v>
      </c>
      <c r="S28" s="201">
        <f>IF(Data1!D38="","",Data1!D38)</f>
        <v>0</v>
      </c>
      <c r="T28" s="201">
        <f>IF(Data1!E38="","",Data1!E38)</f>
        <v>0</v>
      </c>
      <c r="U28" s="201">
        <f>IF(Data1!F38="","",Data1!F38)</f>
        <v>0</v>
      </c>
      <c r="V28" s="201">
        <f>IF(Data1!G38="","",Data1!G38)</f>
        <v>0</v>
      </c>
      <c r="W28" s="201">
        <f>IF(Data1!H38="","",Data1!H38)</f>
        <v>0</v>
      </c>
      <c r="X28" s="201">
        <f>IF(Data1!I30="","",Data1!I30)</f>
        <v>0</v>
      </c>
      <c r="Y28" s="201">
        <f>IF(Data1!J30="","",Data1!J30)</f>
        <v>0</v>
      </c>
      <c r="Z28" s="201">
        <f>IF(Data1!K30="","",Data1!K30)</f>
        <v>0</v>
      </c>
      <c r="AA28" s="201" t="str">
        <f>IF(Data1!L30="","",Data1!L30)</f>
        <v/>
      </c>
      <c r="AB28" s="201" t="str">
        <f>IF(Data1!M30="","",Data1!M30)</f>
        <v/>
      </c>
    </row>
    <row r="29" spans="1:28" s="33" customFormat="1" ht="12.75" customHeight="1">
      <c r="A29" s="333" t="s">
        <v>0</v>
      </c>
      <c r="B29" s="333" t="s">
        <v>1</v>
      </c>
      <c r="C29" s="334" t="str">
        <f>""&amp;Data1!D18</f>
        <v>1</v>
      </c>
      <c r="D29" s="334" t="str">
        <f>""&amp;Data1!E18</f>
        <v>2</v>
      </c>
      <c r="E29" s="334" t="str">
        <f>""&amp;Data1!F18</f>
        <v>3</v>
      </c>
      <c r="F29" s="334" t="str">
        <f>""&amp;Data1!G18</f>
        <v>4</v>
      </c>
      <c r="G29" s="334" t="str">
        <f>""&amp;Data1!H18</f>
        <v>5</v>
      </c>
      <c r="H29" s="334" t="str">
        <f>""&amp;Data1!I18</f>
        <v>6</v>
      </c>
      <c r="I29" s="334" t="str">
        <f>""&amp;Data1!J18</f>
        <v>7</v>
      </c>
      <c r="J29" s="334" t="str">
        <f>""&amp;Data1!K18</f>
        <v>8</v>
      </c>
      <c r="K29" s="334" t="str">
        <f>""&amp;Data1!L18</f>
        <v>9</v>
      </c>
      <c r="L29" s="334" t="str">
        <f>""&amp;Data1!M18</f>
        <v>10</v>
      </c>
      <c r="O29" s="6">
        <v>19</v>
      </c>
      <c r="P29" s="201">
        <f>IF(Data1!N55="","",Data1!N55)</f>
        <v>15</v>
      </c>
      <c r="Q29" s="202">
        <f>Data1!B55</f>
        <v>32</v>
      </c>
      <c r="R29" s="201" t="str">
        <f>IF(Data1!C55="","",Data1!C55)</f>
        <v>TINA ERLIAN</v>
      </c>
      <c r="S29" s="201">
        <f>IF(Data1!D55="","",Data1!D55)</f>
        <v>5</v>
      </c>
      <c r="T29" s="201">
        <f>IF(Data1!E55="","",Data1!E55)</f>
        <v>0</v>
      </c>
      <c r="U29" s="201">
        <f>IF(Data1!F55="","",Data1!F55)</f>
        <v>0</v>
      </c>
      <c r="V29" s="201">
        <f>IF(Data1!G55="","",Data1!G55)</f>
        <v>5</v>
      </c>
      <c r="W29" s="201">
        <f>IF(Data1!H55="","",Data1!H55)</f>
        <v>5</v>
      </c>
      <c r="X29" s="201">
        <f>IF(Data1!I55="","",Data1!I55)</f>
        <v>0</v>
      </c>
      <c r="Y29" s="201">
        <f>IF(Data1!J55="","",Data1!J55)</f>
        <v>0</v>
      </c>
      <c r="Z29" s="201">
        <f>IF(Data1!K55="","",Data1!K55)</f>
        <v>0</v>
      </c>
      <c r="AA29" s="201" t="str">
        <f>IF(Data1!L55="","",Data1!L55)</f>
        <v/>
      </c>
      <c r="AB29" s="201" t="str">
        <f>IF(Data1!M55="","",Data1!M55)</f>
        <v/>
      </c>
    </row>
    <row r="30" spans="1:28" s="33" customFormat="1" ht="12.75" customHeight="1">
      <c r="A30" s="333"/>
      <c r="B30" s="333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O30" s="6">
        <v>20</v>
      </c>
      <c r="P30" s="201" t="str">
        <f>IF(Data1!N59="","",Data1!N59)</f>
        <v/>
      </c>
      <c r="Q30" s="202">
        <f>Data1!B59</f>
        <v>36</v>
      </c>
      <c r="R30" s="201" t="str">
        <f>IF(Data1!C59="","",Data1!C59)</f>
        <v/>
      </c>
      <c r="S30" s="201" t="str">
        <f>IF(Data1!D59="","",Data1!D59)</f>
        <v/>
      </c>
      <c r="T30" s="201" t="str">
        <f>IF(Data1!E59="","",Data1!E59)</f>
        <v/>
      </c>
      <c r="U30" s="201" t="str">
        <f>IF(Data1!F59="","",Data1!F59)</f>
        <v/>
      </c>
      <c r="V30" s="201" t="str">
        <f>IF(Data1!G59="","",Data1!G59)</f>
        <v/>
      </c>
      <c r="W30" s="201" t="str">
        <f>IF(Data1!H59="","",Data1!H59)</f>
        <v/>
      </c>
      <c r="X30" s="201" t="str">
        <f>IF(Data1!I59="","",Data1!I59)</f>
        <v/>
      </c>
      <c r="Y30" s="201" t="str">
        <f>IF(Data1!J59="","",Data1!J59)</f>
        <v/>
      </c>
      <c r="Z30" s="201" t="str">
        <f>IF(Data1!K59="","",Data1!K59)</f>
        <v/>
      </c>
      <c r="AA30" s="201" t="str">
        <f>IF(Data1!L59="","",Data1!L59)</f>
        <v/>
      </c>
      <c r="AB30" s="201" t="str">
        <f>IF(Data1!M59="","",Data1!M59)</f>
        <v/>
      </c>
    </row>
    <row r="31" spans="1:28" ht="15.75" customHeight="1">
      <c r="A31" s="73">
        <v>1</v>
      </c>
      <c r="B31" s="158" t="s">
        <v>116</v>
      </c>
      <c r="C31" s="159">
        <v>1</v>
      </c>
      <c r="D31" s="159">
        <v>1</v>
      </c>
      <c r="E31" s="159">
        <v>1</v>
      </c>
      <c r="F31" s="159">
        <v>5</v>
      </c>
      <c r="G31" s="159">
        <v>3</v>
      </c>
      <c r="H31" s="159"/>
      <c r="I31" s="159"/>
      <c r="J31" s="159"/>
      <c r="K31" s="159"/>
      <c r="L31" s="159"/>
      <c r="O31" s="6">
        <v>21</v>
      </c>
      <c r="P31" s="201">
        <f>IF(Data1!N45="","",Data1!N45)</f>
        <v>30</v>
      </c>
      <c r="Q31" s="202">
        <f>Data1!B45</f>
        <v>22</v>
      </c>
      <c r="R31" s="201" t="str">
        <f>IF(Data1!C45="","",Data1!C45)</f>
        <v>MUHAMMAD ILHAMSYAH</v>
      </c>
      <c r="S31" s="201">
        <f>IF(Data1!D45="","",Data1!D45)</f>
        <v>5</v>
      </c>
      <c r="T31" s="201">
        <f>IF(Data1!E45="","",Data1!E45)</f>
        <v>5</v>
      </c>
      <c r="U31" s="201">
        <f>IF(Data1!F45="","",Data1!F45)</f>
        <v>5</v>
      </c>
      <c r="V31" s="201">
        <f>IF(Data1!G45="","",Data1!G45)</f>
        <v>5</v>
      </c>
      <c r="W31" s="201">
        <f>IF(Data1!H45="","",Data1!H45)</f>
        <v>5</v>
      </c>
      <c r="X31" s="201">
        <f>IF(Data1!I27="","",Data1!I27)</f>
        <v>5</v>
      </c>
      <c r="Y31" s="201">
        <f>IF(Data1!J27="","",Data1!J27)</f>
        <v>5</v>
      </c>
      <c r="Z31" s="201">
        <f>IF(Data1!K27="","",Data1!K27)</f>
        <v>0</v>
      </c>
      <c r="AA31" s="201" t="str">
        <f>IF(Data1!L27="","",Data1!L27)</f>
        <v/>
      </c>
      <c r="AB31" s="201" t="str">
        <f>IF(Data1!M27="","",Data1!M27)</f>
        <v/>
      </c>
    </row>
    <row r="32" spans="1:28" ht="15.75" customHeight="1">
      <c r="A32" s="73">
        <v>2</v>
      </c>
      <c r="B32" s="158" t="s">
        <v>108</v>
      </c>
      <c r="C32" s="159">
        <v>1</v>
      </c>
      <c r="D32" s="159">
        <v>1</v>
      </c>
      <c r="E32" s="159">
        <v>4</v>
      </c>
      <c r="F32" s="159">
        <v>1</v>
      </c>
      <c r="G32" s="159">
        <v>3</v>
      </c>
      <c r="H32" s="159"/>
      <c r="I32" s="159"/>
      <c r="J32" s="159"/>
      <c r="K32" s="159"/>
      <c r="L32" s="159"/>
      <c r="O32" s="6">
        <v>22</v>
      </c>
      <c r="P32" s="201">
        <f>IF(Data1!N58="","",Data1!N58)</f>
        <v>10</v>
      </c>
      <c r="Q32" s="202">
        <f>Data1!B58</f>
        <v>35</v>
      </c>
      <c r="R32" s="201" t="str">
        <f>IF(Data1!C58="","",Data1!C58)</f>
        <v>YUSUF SALAM</v>
      </c>
      <c r="S32" s="201">
        <f>IF(Data1!D58="","",Data1!D58)</f>
        <v>5</v>
      </c>
      <c r="T32" s="201">
        <f>IF(Data1!E58="","",Data1!E58)</f>
        <v>0</v>
      </c>
      <c r="U32" s="201">
        <f>IF(Data1!F58="","",Data1!F58)</f>
        <v>5</v>
      </c>
      <c r="V32" s="201">
        <f>IF(Data1!G58="","",Data1!G58)</f>
        <v>0</v>
      </c>
      <c r="W32" s="201">
        <f>IF(Data1!H58="","",Data1!H58)</f>
        <v>0</v>
      </c>
      <c r="X32" s="201">
        <f>IF(Data1!I58="","",Data1!I58)</f>
        <v>0</v>
      </c>
      <c r="Y32" s="201">
        <f>IF(Data1!J58="","",Data1!J58)</f>
        <v>0</v>
      </c>
      <c r="Z32" s="201">
        <f>IF(Data1!K58="","",Data1!K58)</f>
        <v>0</v>
      </c>
      <c r="AA32" s="201" t="str">
        <f>IF(Data1!L58="","",Data1!L58)</f>
        <v/>
      </c>
      <c r="AB32" s="201" t="str">
        <f>IF(Data1!M58="","",Data1!M58)</f>
        <v/>
      </c>
    </row>
    <row r="33" spans="1:28" ht="15.75" customHeight="1">
      <c r="A33" s="73">
        <v>3</v>
      </c>
      <c r="B33" s="158" t="s">
        <v>124</v>
      </c>
      <c r="C33" s="159">
        <v>1</v>
      </c>
      <c r="D33" s="159">
        <v>1</v>
      </c>
      <c r="E33" s="159">
        <v>5</v>
      </c>
      <c r="F33" s="159">
        <v>2</v>
      </c>
      <c r="G33" s="159">
        <v>1</v>
      </c>
      <c r="H33" s="159"/>
      <c r="I33" s="159"/>
      <c r="J33" s="159"/>
      <c r="K33" s="159"/>
      <c r="L33" s="159"/>
      <c r="O33" s="6">
        <v>23</v>
      </c>
      <c r="P33" s="201">
        <f>IF(Data1!N40="","",Data1!N40)</f>
        <v>15</v>
      </c>
      <c r="Q33" s="202">
        <f>Data1!B40</f>
        <v>17</v>
      </c>
      <c r="R33" s="201" t="str">
        <f>IF(Data1!C40="","",Data1!C40)</f>
        <v>MAULIDATUL KHOIUN NI'MAH</v>
      </c>
      <c r="S33" s="201">
        <f>IF(Data1!D40="","",Data1!D40)</f>
        <v>5</v>
      </c>
      <c r="T33" s="201">
        <f>IF(Data1!E40="","",Data1!E40)</f>
        <v>0</v>
      </c>
      <c r="U33" s="201">
        <f>IF(Data1!F40="","",Data1!F40)</f>
        <v>5</v>
      </c>
      <c r="V33" s="201">
        <f>IF(Data1!G40="","",Data1!G40)</f>
        <v>0</v>
      </c>
      <c r="W33" s="201">
        <f>IF(Data1!H40="","",Data1!H40)</f>
        <v>5</v>
      </c>
      <c r="X33" s="201">
        <f>IF(Data1!I47="","",Data1!I47)</f>
        <v>0</v>
      </c>
      <c r="Y33" s="201">
        <f>IF(Data1!J47="","",Data1!J47)</f>
        <v>0</v>
      </c>
      <c r="Z33" s="201">
        <f>IF(Data1!K47="","",Data1!K47)</f>
        <v>0</v>
      </c>
      <c r="AA33" s="201" t="str">
        <f>IF(Data1!L47="","",Data1!L47)</f>
        <v/>
      </c>
      <c r="AB33" s="201" t="str">
        <f>IF(Data1!M47="","",Data1!M47)</f>
        <v/>
      </c>
    </row>
    <row r="34" spans="1:28" ht="15.75" customHeight="1">
      <c r="A34" s="73">
        <v>4</v>
      </c>
      <c r="B34" s="158" t="s">
        <v>106</v>
      </c>
      <c r="C34" s="159">
        <v>1</v>
      </c>
      <c r="D34" s="159">
        <v>1</v>
      </c>
      <c r="E34" s="159">
        <v>2</v>
      </c>
      <c r="F34" s="159">
        <v>1</v>
      </c>
      <c r="G34" s="159">
        <v>3</v>
      </c>
      <c r="H34" s="159"/>
      <c r="I34" s="159"/>
      <c r="J34" s="159"/>
      <c r="K34" s="159"/>
      <c r="L34" s="159"/>
      <c r="O34" s="6">
        <v>24</v>
      </c>
      <c r="P34" s="201" t="str">
        <f>IF(Data1!N48="","",Data1!N48)</f>
        <v/>
      </c>
      <c r="Q34" s="202">
        <f>Data1!B48</f>
        <v>25</v>
      </c>
      <c r="R34" s="201" t="str">
        <f>IF(Data1!C48="","",Data1!C48)</f>
        <v>MUHAMMAD SYAHRUL RAMADHAN</v>
      </c>
      <c r="S34" s="201">
        <f>IF(Data1!D48="","",Data1!D48)</f>
        <v>0</v>
      </c>
      <c r="T34" s="201">
        <f>IF(Data1!E48="","",Data1!E48)</f>
        <v>0</v>
      </c>
      <c r="U34" s="201">
        <f>IF(Data1!F48="","",Data1!F48)</f>
        <v>0</v>
      </c>
      <c r="V34" s="201">
        <f>IF(Data1!G48="","",Data1!G48)</f>
        <v>0</v>
      </c>
      <c r="W34" s="201">
        <f>IF(Data1!H48="","",Data1!H48)</f>
        <v>0</v>
      </c>
      <c r="X34" s="201">
        <f>IF(Data1!I48="","",Data1!I48)</f>
        <v>0</v>
      </c>
      <c r="Y34" s="201">
        <f>IF(Data1!J48="","",Data1!J48)</f>
        <v>0</v>
      </c>
      <c r="Z34" s="201">
        <f>IF(Data1!K48="","",Data1!K48)</f>
        <v>0</v>
      </c>
      <c r="AA34" s="201" t="str">
        <f>IF(Data1!L48="","",Data1!L48)</f>
        <v/>
      </c>
      <c r="AB34" s="201" t="str">
        <f>IF(Data1!M48="","",Data1!M48)</f>
        <v/>
      </c>
    </row>
    <row r="35" spans="1:28" ht="15.75" customHeight="1">
      <c r="A35" s="73">
        <v>5</v>
      </c>
      <c r="B35" s="158" t="s">
        <v>115</v>
      </c>
      <c r="C35" s="159">
        <v>1</v>
      </c>
      <c r="D35" s="159">
        <v>1</v>
      </c>
      <c r="E35" s="159">
        <v>4</v>
      </c>
      <c r="F35" s="159">
        <v>1</v>
      </c>
      <c r="G35" s="159">
        <v>1</v>
      </c>
      <c r="H35" s="159"/>
      <c r="I35" s="159"/>
      <c r="J35" s="159"/>
      <c r="K35" s="159"/>
      <c r="L35" s="159"/>
      <c r="O35" s="6">
        <v>25</v>
      </c>
      <c r="P35" s="201" t="str">
        <f>IF(Data1!N31="","",Data1!N31)</f>
        <v/>
      </c>
      <c r="Q35" s="202">
        <f>Data1!B31</f>
        <v>8</v>
      </c>
      <c r="R35" s="201" t="str">
        <f>IF(Data1!C31="","",Data1!C31)</f>
        <v>ENDAH SRI TORADA</v>
      </c>
      <c r="S35" s="201">
        <f>IF(Data1!D31="","",Data1!D31)</f>
        <v>0</v>
      </c>
      <c r="T35" s="201">
        <f>IF(Data1!E31="","",Data1!E31)</f>
        <v>0</v>
      </c>
      <c r="U35" s="201">
        <f>IF(Data1!F31="","",Data1!F31)</f>
        <v>0</v>
      </c>
      <c r="V35" s="201">
        <f>IF(Data1!G31="","",Data1!G31)</f>
        <v>0</v>
      </c>
      <c r="W35" s="201">
        <f>IF(Data1!H31="","",Data1!H31)</f>
        <v>0</v>
      </c>
      <c r="X35" s="201">
        <f>IF(Data1!I37="","",Data1!I37)</f>
        <v>0</v>
      </c>
      <c r="Y35" s="201">
        <f>IF(Data1!J37="","",Data1!J37)</f>
        <v>5</v>
      </c>
      <c r="Z35" s="201">
        <f>IF(Data1!K37="","",Data1!K37)</f>
        <v>0</v>
      </c>
      <c r="AA35" s="201" t="str">
        <f>IF(Data1!L37="","",Data1!L37)</f>
        <v/>
      </c>
      <c r="AB35" s="201" t="str">
        <f>IF(Data1!M37="","",Data1!M37)</f>
        <v/>
      </c>
    </row>
    <row r="36" spans="1:28" ht="15.75" customHeight="1">
      <c r="A36" s="73">
        <v>6</v>
      </c>
      <c r="B36" s="158" t="s">
        <v>117</v>
      </c>
      <c r="C36" s="159">
        <v>0</v>
      </c>
      <c r="D36" s="159">
        <v>0</v>
      </c>
      <c r="E36" s="159">
        <v>4</v>
      </c>
      <c r="F36" s="159">
        <v>1</v>
      </c>
      <c r="G36" s="159">
        <v>1</v>
      </c>
      <c r="H36" s="159"/>
      <c r="I36" s="159"/>
      <c r="J36" s="159"/>
      <c r="K36" s="159"/>
      <c r="L36" s="159"/>
      <c r="O36" s="6">
        <v>26</v>
      </c>
      <c r="P36" s="201">
        <f>IF(Data1!N34="","",Data1!N34)</f>
        <v>35</v>
      </c>
      <c r="Q36" s="202">
        <f>Data1!B34</f>
        <v>11</v>
      </c>
      <c r="R36" s="201" t="str">
        <f>IF(Data1!C34="","",Data1!C34)</f>
        <v>FITRIANI</v>
      </c>
      <c r="S36" s="201">
        <f>IF(Data1!D34="","",Data1!D34)</f>
        <v>5</v>
      </c>
      <c r="T36" s="201">
        <f>IF(Data1!E34="","",Data1!E34)</f>
        <v>5</v>
      </c>
      <c r="U36" s="201">
        <f>IF(Data1!F34="","",Data1!F34)</f>
        <v>5</v>
      </c>
      <c r="V36" s="201">
        <f>IF(Data1!G34="","",Data1!G34)</f>
        <v>0</v>
      </c>
      <c r="W36" s="201">
        <f>IF(Data1!H34="","",Data1!H34)</f>
        <v>5</v>
      </c>
      <c r="X36" s="201">
        <f>IF(Data1!I44="","",Data1!I44)</f>
        <v>5</v>
      </c>
      <c r="Y36" s="201">
        <f>IF(Data1!J44="","",Data1!J44)</f>
        <v>0</v>
      </c>
      <c r="Z36" s="201">
        <f>IF(Data1!K44="","",Data1!K44)</f>
        <v>5</v>
      </c>
      <c r="AA36" s="201" t="str">
        <f>IF(Data1!L44="","",Data1!L44)</f>
        <v/>
      </c>
      <c r="AB36" s="201" t="str">
        <f>IF(Data1!M44="","",Data1!M44)</f>
        <v/>
      </c>
    </row>
    <row r="37" spans="1:28" ht="15.75" customHeight="1">
      <c r="A37" s="73">
        <v>7</v>
      </c>
      <c r="B37" s="158" t="s">
        <v>112</v>
      </c>
      <c r="C37" s="159">
        <v>1</v>
      </c>
      <c r="D37" s="159">
        <v>1</v>
      </c>
      <c r="E37" s="159">
        <v>1</v>
      </c>
      <c r="F37" s="159">
        <v>1</v>
      </c>
      <c r="G37" s="159">
        <v>1</v>
      </c>
      <c r="H37" s="159"/>
      <c r="I37" s="159"/>
      <c r="J37" s="159"/>
      <c r="K37" s="159"/>
      <c r="L37" s="159"/>
      <c r="O37" s="6">
        <v>27</v>
      </c>
      <c r="P37" s="201">
        <f>IF(Data1!N41="","",Data1!N41)</f>
        <v>10</v>
      </c>
      <c r="Q37" s="202">
        <f>Data1!B41</f>
        <v>18</v>
      </c>
      <c r="R37" s="201" t="str">
        <f>IF(Data1!C41="","",Data1!C41)</f>
        <v>MUH. FAJRY MUHARRAM</v>
      </c>
      <c r="S37" s="201">
        <f>IF(Data1!D41="","",Data1!D41)</f>
        <v>5</v>
      </c>
      <c r="T37" s="201">
        <f>IF(Data1!E41="","",Data1!E41)</f>
        <v>0</v>
      </c>
      <c r="U37" s="201">
        <f>IF(Data1!F41="","",Data1!F41)</f>
        <v>0</v>
      </c>
      <c r="V37" s="201">
        <f>IF(Data1!G41="","",Data1!G41)</f>
        <v>0</v>
      </c>
      <c r="W37" s="201">
        <f>IF(Data1!H41="","",Data1!H41)</f>
        <v>0</v>
      </c>
      <c r="X37" s="201">
        <f>IF(Data1!I31="","",Data1!I31)</f>
        <v>0</v>
      </c>
      <c r="Y37" s="201">
        <f>IF(Data1!J31="","",Data1!J31)</f>
        <v>0</v>
      </c>
      <c r="Z37" s="201">
        <f>IF(Data1!K31="","",Data1!K31)</f>
        <v>0</v>
      </c>
      <c r="AA37" s="201" t="str">
        <f>IF(Data1!L31="","",Data1!L31)</f>
        <v/>
      </c>
      <c r="AB37" s="201" t="str">
        <f>IF(Data1!M31="","",Data1!M31)</f>
        <v/>
      </c>
    </row>
    <row r="38" spans="1:28" ht="15.75" customHeight="1">
      <c r="A38" s="73">
        <v>8</v>
      </c>
      <c r="B38" s="158" t="s">
        <v>119</v>
      </c>
      <c r="C38" s="159">
        <v>1</v>
      </c>
      <c r="D38" s="159">
        <v>1</v>
      </c>
      <c r="E38" s="159">
        <v>1</v>
      </c>
      <c r="F38" s="159">
        <v>1</v>
      </c>
      <c r="G38" s="159">
        <v>1</v>
      </c>
      <c r="H38" s="159"/>
      <c r="I38" s="159"/>
      <c r="J38" s="159"/>
      <c r="K38" s="159"/>
      <c r="L38" s="159"/>
      <c r="O38" s="6">
        <v>28</v>
      </c>
      <c r="P38" s="201">
        <f>IF(Data1!N28="","",Data1!N28)</f>
        <v>15</v>
      </c>
      <c r="Q38" s="202">
        <f>Data1!B28</f>
        <v>5</v>
      </c>
      <c r="R38" s="201" t="str">
        <f>IF(Data1!C28="","",Data1!C28)</f>
        <v>DESY REGITA SARI</v>
      </c>
      <c r="S38" s="201">
        <f>IF(Data1!D28="","",Data1!D28)</f>
        <v>0</v>
      </c>
      <c r="T38" s="201">
        <f>IF(Data1!E28="","",Data1!E28)</f>
        <v>5</v>
      </c>
      <c r="U38" s="201">
        <f>IF(Data1!F28="","",Data1!F28)</f>
        <v>0</v>
      </c>
      <c r="V38" s="201">
        <f>IF(Data1!G28="","",Data1!G28)</f>
        <v>0</v>
      </c>
      <c r="W38" s="201">
        <f>IF(Data1!H28="","",Data1!H28)</f>
        <v>5</v>
      </c>
      <c r="X38" s="201">
        <f>IF(Data1!I25="","",Data1!I25)</f>
        <v>0</v>
      </c>
      <c r="Y38" s="201">
        <f>IF(Data1!J25="","",Data1!J25)</f>
        <v>5</v>
      </c>
      <c r="Z38" s="201">
        <f>IF(Data1!K25="","",Data1!K25)</f>
        <v>0</v>
      </c>
      <c r="AA38" s="201" t="str">
        <f>IF(Data1!L25="","",Data1!L25)</f>
        <v/>
      </c>
      <c r="AB38" s="201" t="str">
        <f>IF(Data1!M25="","",Data1!M25)</f>
        <v/>
      </c>
    </row>
    <row r="39" spans="1:28" ht="15.75" customHeight="1">
      <c r="A39" s="73">
        <v>9</v>
      </c>
      <c r="B39" s="158" t="s">
        <v>122</v>
      </c>
      <c r="C39" s="159">
        <v>1</v>
      </c>
      <c r="D39" s="159">
        <v>1</v>
      </c>
      <c r="E39" s="159">
        <v>1</v>
      </c>
      <c r="F39" s="159">
        <v>1</v>
      </c>
      <c r="G39" s="159">
        <v>1</v>
      </c>
      <c r="H39" s="159"/>
      <c r="I39" s="159"/>
      <c r="J39" s="159"/>
      <c r="K39" s="159"/>
      <c r="L39" s="159"/>
      <c r="O39" s="6">
        <v>29</v>
      </c>
      <c r="P39" s="201">
        <f>IF(Data1!N53="","",Data1!N53)</f>
        <v>10</v>
      </c>
      <c r="Q39" s="202">
        <f>Data1!B53</f>
        <v>30</v>
      </c>
      <c r="R39" s="201" t="str">
        <f>IF(Data1!C53="","",Data1!C53)</f>
        <v>SUKMA JULIA RAUF</v>
      </c>
      <c r="S39" s="201">
        <f>IF(Data1!D53="","",Data1!D53)</f>
        <v>5</v>
      </c>
      <c r="T39" s="201">
        <f>IF(Data1!E53="","",Data1!E53)</f>
        <v>0</v>
      </c>
      <c r="U39" s="201">
        <f>IF(Data1!F53="","",Data1!F53)</f>
        <v>5</v>
      </c>
      <c r="V39" s="201">
        <f>IF(Data1!G53="","",Data1!G53)</f>
        <v>0</v>
      </c>
      <c r="W39" s="201">
        <f>IF(Data1!H53="","",Data1!H53)</f>
        <v>0</v>
      </c>
      <c r="X39" s="201">
        <f>IF(Data1!I53="","",Data1!I53)</f>
        <v>0</v>
      </c>
      <c r="Y39" s="201">
        <f>IF(Data1!J53="","",Data1!J53)</f>
        <v>0</v>
      </c>
      <c r="Z39" s="201">
        <f>IF(Data1!K53="","",Data1!K53)</f>
        <v>0</v>
      </c>
      <c r="AA39" s="201" t="str">
        <f>IF(Data1!L53="","",Data1!L53)</f>
        <v/>
      </c>
      <c r="AB39" s="201" t="str">
        <f>IF(Data1!M53="","",Data1!M53)</f>
        <v/>
      </c>
    </row>
    <row r="40" spans="1:28" ht="15.75" customHeight="1">
      <c r="A40" s="73">
        <v>10</v>
      </c>
      <c r="B40" s="158" t="s">
        <v>111</v>
      </c>
      <c r="C40" s="159">
        <v>1</v>
      </c>
      <c r="D40" s="159">
        <v>1</v>
      </c>
      <c r="E40" s="159">
        <v>3</v>
      </c>
      <c r="F40" s="159">
        <v>5</v>
      </c>
      <c r="G40" s="159">
        <v>1</v>
      </c>
      <c r="H40" s="159"/>
      <c r="I40" s="159"/>
      <c r="J40" s="159"/>
      <c r="K40" s="159"/>
      <c r="L40" s="159"/>
      <c r="O40" s="6">
        <v>30</v>
      </c>
      <c r="P40" s="201">
        <f>IF(Data1!N25="","",Data1!N25)</f>
        <v>10</v>
      </c>
      <c r="Q40" s="202">
        <f>Data1!B25</f>
        <v>2</v>
      </c>
      <c r="R40" s="201" t="str">
        <f>IF(Data1!C25="","",Data1!C25)</f>
        <v>ALISA</v>
      </c>
      <c r="S40" s="201">
        <f>IF(Data1!D25="","",Data1!D25)</f>
        <v>5</v>
      </c>
      <c r="T40" s="201">
        <f>IF(Data1!E25="","",Data1!E25)</f>
        <v>0</v>
      </c>
      <c r="U40" s="201">
        <f>IF(Data1!F25="","",Data1!F25)</f>
        <v>0</v>
      </c>
      <c r="V40" s="201">
        <f>IF(Data1!G25="","",Data1!G25)</f>
        <v>0</v>
      </c>
      <c r="W40" s="201">
        <f>IF(Data1!H25="","",Data1!H25)</f>
        <v>0</v>
      </c>
      <c r="X40" s="201">
        <f>IF(Data1!I36="","",Data1!I36)</f>
        <v>0</v>
      </c>
      <c r="Y40" s="201">
        <f>IF(Data1!J36="","",Data1!J36)</f>
        <v>5</v>
      </c>
      <c r="Z40" s="201">
        <f>IF(Data1!K36="","",Data1!K36)</f>
        <v>0</v>
      </c>
      <c r="AA40" s="201" t="str">
        <f>IF(Data1!L36="","",Data1!L36)</f>
        <v/>
      </c>
      <c r="AB40" s="201" t="str">
        <f>IF(Data1!M36="","",Data1!M36)</f>
        <v/>
      </c>
    </row>
    <row r="41" spans="1:28" ht="15.75" customHeight="1">
      <c r="A41" s="73">
        <v>11</v>
      </c>
      <c r="B41" s="158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O41" s="6">
        <v>31</v>
      </c>
      <c r="P41" s="201">
        <f>IF(Data1!N39="","",Data1!N39)</f>
        <v>15</v>
      </c>
      <c r="Q41" s="202">
        <f>Data1!B39</f>
        <v>16</v>
      </c>
      <c r="R41" s="201" t="str">
        <f>IF(Data1!C39="","",Data1!C39)</f>
        <v>MASYRUQ AL JAZZULI</v>
      </c>
      <c r="S41" s="201">
        <f>IF(Data1!D39="","",Data1!D39)</f>
        <v>0</v>
      </c>
      <c r="T41" s="201">
        <f>IF(Data1!E39="","",Data1!E39)</f>
        <v>0</v>
      </c>
      <c r="U41" s="201">
        <f>IF(Data1!F39="","",Data1!F39)</f>
        <v>0</v>
      </c>
      <c r="V41" s="201">
        <f>IF(Data1!G39="","",Data1!G39)</f>
        <v>0</v>
      </c>
      <c r="W41" s="201">
        <f>IF(Data1!H39="","",Data1!H39)</f>
        <v>5</v>
      </c>
      <c r="X41" s="201">
        <f>IF(Data1!I39="","",Data1!I39)</f>
        <v>5</v>
      </c>
      <c r="Y41" s="201">
        <f>IF(Data1!J39="","",Data1!J39)</f>
        <v>5</v>
      </c>
      <c r="Z41" s="201">
        <f>IF(Data1!K39="","",Data1!K39)</f>
        <v>0</v>
      </c>
      <c r="AA41" s="201" t="str">
        <f>IF(Data1!L39="","",Data1!L39)</f>
        <v/>
      </c>
      <c r="AB41" s="201" t="str">
        <f>IF(Data1!M39="","",Data1!M39)</f>
        <v/>
      </c>
    </row>
    <row r="42" spans="1:28" ht="15.75" customHeight="1">
      <c r="A42" s="73">
        <v>12</v>
      </c>
      <c r="B42" s="158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O42" s="6">
        <v>32</v>
      </c>
      <c r="P42" s="201">
        <f>IF(Data1!N43="","",Data1!N43)</f>
        <v>15</v>
      </c>
      <c r="Q42" s="202">
        <f>Data1!B43</f>
        <v>20</v>
      </c>
      <c r="R42" s="201" t="str">
        <f>IF(Data1!C43="","",Data1!C43)</f>
        <v>MUHAMMAD ARIANSYAH</v>
      </c>
      <c r="S42" s="201">
        <f>IF(Data1!D43="","",Data1!D43)</f>
        <v>5</v>
      </c>
      <c r="T42" s="201">
        <f>IF(Data1!E43="","",Data1!E43)</f>
        <v>0</v>
      </c>
      <c r="U42" s="201">
        <f>IF(Data1!F43="","",Data1!F43)</f>
        <v>5</v>
      </c>
      <c r="V42" s="201">
        <f>IF(Data1!G43="","",Data1!G43)</f>
        <v>0</v>
      </c>
      <c r="W42" s="201">
        <f>IF(Data1!H43="","",Data1!H43)</f>
        <v>0</v>
      </c>
      <c r="X42" s="201">
        <f>IF(Data1!I35="","",Data1!I35)</f>
        <v>0</v>
      </c>
      <c r="Y42" s="201">
        <f>IF(Data1!J35="","",Data1!J35)</f>
        <v>5</v>
      </c>
      <c r="Z42" s="201">
        <f>IF(Data1!K35="","",Data1!K35)</f>
        <v>0</v>
      </c>
      <c r="AA42" s="201" t="str">
        <f>IF(Data1!L35="","",Data1!L35)</f>
        <v/>
      </c>
      <c r="AB42" s="201" t="str">
        <f>IF(Data1!M35="","",Data1!M35)</f>
        <v/>
      </c>
    </row>
    <row r="43" spans="1:28" ht="15.75" customHeight="1">
      <c r="A43" s="73">
        <v>13</v>
      </c>
      <c r="B43" s="158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O43" s="6">
        <v>33</v>
      </c>
      <c r="P43" s="201">
        <f>IF(Data1!N35="","",Data1!N35)</f>
        <v>15</v>
      </c>
      <c r="Q43" s="202">
        <f>Data1!B35</f>
        <v>12</v>
      </c>
      <c r="R43" s="201" t="str">
        <f>IF(Data1!C35="","",Data1!C35)</f>
        <v>HAFIZHAH</v>
      </c>
      <c r="S43" s="201">
        <f>IF(Data1!D35="","",Data1!D35)</f>
        <v>0</v>
      </c>
      <c r="T43" s="201">
        <f>IF(Data1!E35="","",Data1!E35)</f>
        <v>5</v>
      </c>
      <c r="U43" s="201">
        <f>IF(Data1!F35="","",Data1!F35)</f>
        <v>0</v>
      </c>
      <c r="V43" s="201">
        <f>IF(Data1!G35="","",Data1!G35)</f>
        <v>5</v>
      </c>
      <c r="W43" s="201">
        <f>IF(Data1!H35="","",Data1!H35)</f>
        <v>0</v>
      </c>
      <c r="X43" s="201">
        <f>IF(Data1!I29="","",Data1!I29)</f>
        <v>0</v>
      </c>
      <c r="Y43" s="201">
        <f>IF(Data1!J29="","",Data1!J29)</f>
        <v>0</v>
      </c>
      <c r="Z43" s="201">
        <f>IF(Data1!K29="","",Data1!K29)</f>
        <v>5</v>
      </c>
      <c r="AA43" s="201" t="str">
        <f>IF(Data1!L29="","",Data1!L29)</f>
        <v/>
      </c>
      <c r="AB43" s="201" t="str">
        <f>IF(Data1!M29="","",Data1!M29)</f>
        <v/>
      </c>
    </row>
    <row r="44" spans="1:28" ht="24.95" customHeight="1">
      <c r="A44" s="333" t="s">
        <v>57</v>
      </c>
      <c r="B44" s="333"/>
      <c r="C44" s="60">
        <f>IF(SUM(C31:C43)=0,"",SUM(C31:C43))</f>
        <v>9</v>
      </c>
      <c r="D44" s="60">
        <f t="shared" ref="D44:L44" si="2">IF(SUM(D31:D43)=0,"",SUM(D31:D43))</f>
        <v>9</v>
      </c>
      <c r="E44" s="60">
        <f t="shared" si="2"/>
        <v>26</v>
      </c>
      <c r="F44" s="60">
        <f t="shared" si="2"/>
        <v>19</v>
      </c>
      <c r="G44" s="60">
        <f t="shared" si="2"/>
        <v>16</v>
      </c>
      <c r="H44" s="60" t="str">
        <f t="shared" si="2"/>
        <v/>
      </c>
      <c r="I44" s="60" t="str">
        <f t="shared" si="2"/>
        <v/>
      </c>
      <c r="J44" s="60" t="str">
        <f t="shared" si="2"/>
        <v/>
      </c>
      <c r="K44" s="60" t="str">
        <f t="shared" si="2"/>
        <v/>
      </c>
      <c r="L44" s="60" t="str">
        <f t="shared" si="2"/>
        <v/>
      </c>
      <c r="O44" s="6">
        <v>34</v>
      </c>
      <c r="P44" s="201">
        <f>IF(Data1!N46="","",Data1!N46)</f>
        <v>35</v>
      </c>
      <c r="Q44" s="202">
        <f>Data1!B46</f>
        <v>23</v>
      </c>
      <c r="R44" s="201" t="str">
        <f>IF(Data1!C46="","",Data1!C46)</f>
        <v>MUHAMMAD REZA FAHLEVI</v>
      </c>
      <c r="S44" s="201">
        <f>IF(Data1!D46="","",Data1!D46)</f>
        <v>5</v>
      </c>
      <c r="T44" s="201">
        <f>IF(Data1!E46="","",Data1!E46)</f>
        <v>5</v>
      </c>
      <c r="U44" s="201">
        <f>IF(Data1!F46="","",Data1!F46)</f>
        <v>5</v>
      </c>
      <c r="V44" s="201">
        <f>IF(Data1!G46="","",Data1!G46)</f>
        <v>5</v>
      </c>
      <c r="W44" s="201">
        <f>IF(Data1!H46="","",Data1!H46)</f>
        <v>5</v>
      </c>
      <c r="X44" s="201">
        <f>IF(Data1!I24="","",Data1!I24)</f>
        <v>0</v>
      </c>
      <c r="Y44" s="201">
        <f>IF(Data1!J24="","",Data1!J24)</f>
        <v>5</v>
      </c>
      <c r="Z44" s="201">
        <f>IF(Data1!K24="","",Data1!K24)</f>
        <v>0</v>
      </c>
      <c r="AA44" s="201" t="str">
        <f>IF(Data1!L24="","",Data1!L24)</f>
        <v/>
      </c>
      <c r="AB44" s="201" t="str">
        <f>IF(Data1!M24="","",Data1!M24)</f>
        <v/>
      </c>
    </row>
    <row r="45" spans="1:28" ht="25.5" customHeight="1">
      <c r="A45" s="333" t="s">
        <v>48</v>
      </c>
      <c r="B45" s="333"/>
      <c r="C45" s="60">
        <f t="shared" ref="C45:L45" si="3">IF(SUM(C31:C43)=0,"", AVERAGE(C31:C43))</f>
        <v>0.9</v>
      </c>
      <c r="D45" s="60">
        <f t="shared" si="3"/>
        <v>0.9</v>
      </c>
      <c r="E45" s="60">
        <f t="shared" si="3"/>
        <v>2.6</v>
      </c>
      <c r="F45" s="60">
        <f t="shared" si="3"/>
        <v>1.9</v>
      </c>
      <c r="G45" s="60">
        <f t="shared" si="3"/>
        <v>1.6</v>
      </c>
      <c r="H45" s="60" t="str">
        <f t="shared" si="3"/>
        <v/>
      </c>
      <c r="I45" s="60" t="str">
        <f t="shared" si="3"/>
        <v/>
      </c>
      <c r="J45" s="60" t="str">
        <f t="shared" si="3"/>
        <v/>
      </c>
      <c r="K45" s="60" t="str">
        <f t="shared" si="3"/>
        <v/>
      </c>
      <c r="L45" s="60" t="str">
        <f t="shared" si="3"/>
        <v/>
      </c>
      <c r="O45" s="6">
        <v>35</v>
      </c>
      <c r="P45" s="201" t="str">
        <f>IF(Data1!N51="","",Data1!N51)</f>
        <v/>
      </c>
      <c r="Q45" s="202">
        <f>IF(Data1!B51="","",Data1!B51)</f>
        <v>28</v>
      </c>
      <c r="R45" s="201" t="str">
        <f>IF(Data1!C51="","",Data1!C51)</f>
        <v>RATI YANI</v>
      </c>
      <c r="S45" s="201">
        <f>IF(Data1!D51="","",Data1!D51)</f>
        <v>0</v>
      </c>
      <c r="T45" s="201">
        <f>IF(Data1!E51="","",Data1!E51)</f>
        <v>0</v>
      </c>
      <c r="U45" s="201">
        <f>IF(Data1!F51="","",Data1!F51)</f>
        <v>0</v>
      </c>
      <c r="V45" s="201">
        <f>IF(Data1!G51="","",Data1!G51)</f>
        <v>0</v>
      </c>
      <c r="W45" s="201">
        <f>IF(Data1!H51="","",Data1!H51)</f>
        <v>0</v>
      </c>
      <c r="X45" s="201">
        <f>IF(Data1!I51="","",Data1!I51)</f>
        <v>0</v>
      </c>
      <c r="Y45" s="201">
        <f>IF(Data1!J51="","",Data1!J51)</f>
        <v>0</v>
      </c>
      <c r="Z45" s="201">
        <f>IF(Data1!K51="","",Data1!K51)</f>
        <v>0</v>
      </c>
      <c r="AA45" s="201" t="str">
        <f>IF(Data1!L51="","",Data1!L51)</f>
        <v/>
      </c>
      <c r="AB45" s="201" t="str">
        <f>IF(Data1!M51="","",Data1!M51)</f>
        <v/>
      </c>
    </row>
    <row r="46" spans="1:28">
      <c r="O46" s="6">
        <v>36</v>
      </c>
      <c r="P46" s="217"/>
      <c r="Q46" s="217"/>
      <c r="R46" s="217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>
      <c r="O47" s="6">
        <v>37</v>
      </c>
      <c r="P47" s="201" t="str">
        <f>IF(Data1!N60="","",Data1!N60)</f>
        <v/>
      </c>
      <c r="Q47" s="202" t="str">
        <f>Data1!B60</f>
        <v xml:space="preserve"> </v>
      </c>
      <c r="R47" s="201" t="str">
        <f>IF(Data1!C60="","",Data1!C60)</f>
        <v/>
      </c>
      <c r="S47" s="201" t="str">
        <f>IF(Data1!D60="","",Data1!D60)</f>
        <v/>
      </c>
      <c r="T47" s="201" t="str">
        <f>IF(Data1!E60="","",Data1!E60)</f>
        <v/>
      </c>
      <c r="U47" s="201" t="str">
        <f>IF(Data1!F60="","",Data1!F60)</f>
        <v/>
      </c>
      <c r="V47" s="201" t="str">
        <f>IF(Data1!G60="","",Data1!G60)</f>
        <v/>
      </c>
      <c r="W47" s="201" t="str">
        <f>IF(Data1!H60="","",Data1!H60)</f>
        <v/>
      </c>
      <c r="X47" s="201" t="str">
        <f>IF(Data1!I60="","",Data1!I60)</f>
        <v/>
      </c>
      <c r="Y47" s="201" t="str">
        <f>IF(Data1!J60="","",Data1!J60)</f>
        <v/>
      </c>
      <c r="Z47" s="201" t="str">
        <f>IF(Data1!K60="","",Data1!K60)</f>
        <v/>
      </c>
      <c r="AA47" s="201" t="str">
        <f>IF(Data1!L60="","",Data1!L60)</f>
        <v/>
      </c>
      <c r="AB47" s="201" t="str">
        <f>IF(Data1!M60="","",Data1!M60)</f>
        <v/>
      </c>
    </row>
    <row r="48" spans="1:28">
      <c r="O48" s="6">
        <v>38</v>
      </c>
      <c r="P48" s="201" t="str">
        <f>IF(Data1!N63="","",Data1!N63)</f>
        <v/>
      </c>
      <c r="Q48" s="202" t="str">
        <f>Data1!B63</f>
        <v>% KETERCAPAIAN</v>
      </c>
      <c r="R48" s="201" t="str">
        <f>IF(Data1!C63="","",Data1!C63)</f>
        <v/>
      </c>
      <c r="S48" s="201">
        <f>IF(Data1!D63="","",Data1!D63)</f>
        <v>82.758620689655174</v>
      </c>
      <c r="T48" s="201">
        <f>IF(Data1!E63="","",Data1!E63)</f>
        <v>31.03448275862069</v>
      </c>
      <c r="U48" s="201">
        <f>IF(Data1!F63="","",Data1!F63)</f>
        <v>48.275862068965516</v>
      </c>
      <c r="V48" s="201">
        <f>IF(Data1!G63="","",Data1!G63)</f>
        <v>31.03448275862069</v>
      </c>
      <c r="W48" s="201">
        <f>IF(Data1!H63="","",Data1!H63)</f>
        <v>51.724137931034484</v>
      </c>
      <c r="X48" s="201">
        <f>IF(Data1!I63="","",Data1!I63)</f>
        <v>27.586206896551722</v>
      </c>
      <c r="Y48" s="201">
        <f>IF(Data1!J63="","",Data1!J63)</f>
        <v>51.724137931034484</v>
      </c>
      <c r="Z48" s="201">
        <f>IF(Data1!K63="","",Data1!K63)</f>
        <v>20.689655172413794</v>
      </c>
      <c r="AA48" s="201" t="e">
        <f>IF(Data1!L63="","",Data1!L63)</f>
        <v>#DIV/0!</v>
      </c>
      <c r="AB48" s="201" t="e">
        <f>IF(Data1!M63="","",Data1!M63)</f>
        <v>#DIV/0!</v>
      </c>
    </row>
    <row r="49" spans="15:28">
      <c r="O49" s="6">
        <v>39</v>
      </c>
      <c r="P49" s="201" t="str">
        <f>IF(Data1!N64="","",Data1!N64)</f>
        <v/>
      </c>
      <c r="Q49" s="202" t="str">
        <f>Data1!B64</f>
        <v>% KEGAGALAN</v>
      </c>
      <c r="R49" s="201" t="str">
        <f>IF(Data1!C64="","",Data1!C64)</f>
        <v/>
      </c>
      <c r="S49" s="201">
        <f>IF(Data1!D64="","",Data1!D64)</f>
        <v>17.241379310344826</v>
      </c>
      <c r="T49" s="201">
        <f>IF(Data1!E64="","",Data1!E64)</f>
        <v>68.965517241379303</v>
      </c>
      <c r="U49" s="201">
        <f>IF(Data1!F64="","",Data1!F64)</f>
        <v>51.724137931034484</v>
      </c>
      <c r="V49" s="201">
        <f>IF(Data1!G64="","",Data1!G64)</f>
        <v>68.965517241379303</v>
      </c>
      <c r="W49" s="201">
        <f>IF(Data1!H64="","",Data1!H64)</f>
        <v>48.275862068965516</v>
      </c>
      <c r="X49" s="201">
        <f>IF(Data1!I64="","",Data1!I64)</f>
        <v>72.413793103448285</v>
      </c>
      <c r="Y49" s="201">
        <f>IF(Data1!J64="","",Data1!J64)</f>
        <v>48.275862068965516</v>
      </c>
      <c r="Z49" s="201">
        <f>IF(Data1!K64="","",Data1!K64)</f>
        <v>79.310344827586206</v>
      </c>
      <c r="AA49" s="201" t="e">
        <f>IF(Data1!L64="","",Data1!L64)</f>
        <v>#DIV/0!</v>
      </c>
      <c r="AB49" s="201" t="e">
        <f>IF(Data1!M64="","",Data1!M64)</f>
        <v>#DIV/0!</v>
      </c>
    </row>
    <row r="50" spans="15:28">
      <c r="O50" s="6">
        <v>40</v>
      </c>
      <c r="P50" s="201" t="str">
        <f>IF(Data1!N65="","",Data1!N65)</f>
        <v/>
      </c>
      <c r="Q50" s="202" t="str">
        <f>Data1!B65</f>
        <v>KETERANGAN</v>
      </c>
      <c r="R50" s="201" t="str">
        <f>IF(Data1!C65="","",Data1!C65)</f>
        <v/>
      </c>
      <c r="S50" s="201" t="str">
        <f>IF(Data1!D65="","",Data1!D65)</f>
        <v>IND</v>
      </c>
      <c r="T50" s="201" t="str">
        <f>IF(Data1!E65="","",Data1!E65)</f>
        <v>TS</v>
      </c>
      <c r="U50" s="201" t="str">
        <f>IF(Data1!F65="","",Data1!F65)</f>
        <v>TS</v>
      </c>
      <c r="V50" s="201" t="str">
        <f>IF(Data1!G65="","",Data1!G65)</f>
        <v>TS</v>
      </c>
      <c r="W50" s="201" t="str">
        <f>IF(Data1!H65="","",Data1!H65)</f>
        <v>IND</v>
      </c>
      <c r="X50" s="201" t="str">
        <f>IF(Data1!I65="","",Data1!I65)</f>
        <v>TS</v>
      </c>
      <c r="Y50" s="201" t="str">
        <f>IF(Data1!J65="","",Data1!J65)</f>
        <v>IND</v>
      </c>
      <c r="Z50" s="201" t="str">
        <f>IF(Data1!K65="","",Data1!K65)</f>
        <v>KLS</v>
      </c>
      <c r="AA50" s="201" t="e">
        <f>IF(Data1!L65="","",Data1!L65)</f>
        <v>#DIV/0!</v>
      </c>
      <c r="AB50" s="201" t="e">
        <f>IF(Data1!M65="","",Data1!M65)</f>
        <v>#DIV/0!</v>
      </c>
    </row>
    <row r="51" spans="15:28" ht="14.25">
      <c r="P51" s="60">
        <f>IF(SUM(P11:P50)=0, "",SUM(P11:P50))</f>
        <v>495</v>
      </c>
      <c r="Q51" s="333" t="s">
        <v>47</v>
      </c>
      <c r="R51" s="333"/>
      <c r="S51" s="60">
        <f t="shared" ref="S51:AB51" si="4">IF(SUM(S11:S50)=0,"", SUM(S11:S50))</f>
        <v>215</v>
      </c>
      <c r="T51" s="60">
        <f t="shared" si="4"/>
        <v>145</v>
      </c>
      <c r="U51" s="60">
        <f t="shared" si="4"/>
        <v>170</v>
      </c>
      <c r="V51" s="60">
        <f t="shared" si="4"/>
        <v>145</v>
      </c>
      <c r="W51" s="60">
        <f t="shared" si="4"/>
        <v>175</v>
      </c>
      <c r="X51" s="60">
        <f t="shared" si="4"/>
        <v>140</v>
      </c>
      <c r="Y51" s="60">
        <f t="shared" si="4"/>
        <v>175</v>
      </c>
      <c r="Z51" s="60">
        <f t="shared" si="4"/>
        <v>130</v>
      </c>
      <c r="AA51" s="60" t="e">
        <f t="shared" si="4"/>
        <v>#DIV/0!</v>
      </c>
      <c r="AB51" s="60" t="e">
        <f t="shared" si="4"/>
        <v>#DIV/0!</v>
      </c>
    </row>
    <row r="52" spans="15:28" ht="29.25" customHeight="1">
      <c r="P52" s="162">
        <f>IF(SUM(P11:P50)=0, "", AVERAGE(P11:P50))</f>
        <v>17.678571428571427</v>
      </c>
      <c r="Q52" s="333" t="s">
        <v>48</v>
      </c>
      <c r="R52" s="333"/>
      <c r="S52" s="162">
        <f t="shared" ref="S52:AB52" si="5">IF(SUM(S11:S50)=0,"",AVERAGE(S11:S50))</f>
        <v>5.9722222222222223</v>
      </c>
      <c r="T52" s="162">
        <f t="shared" si="5"/>
        <v>4.0277777777777777</v>
      </c>
      <c r="U52" s="162">
        <f t="shared" si="5"/>
        <v>4.7222222222222223</v>
      </c>
      <c r="V52" s="162">
        <f t="shared" si="5"/>
        <v>4.0277777777777777</v>
      </c>
      <c r="W52" s="162">
        <f t="shared" si="5"/>
        <v>4.8611111111111107</v>
      </c>
      <c r="X52" s="162">
        <f t="shared" si="5"/>
        <v>3.8888888888888888</v>
      </c>
      <c r="Y52" s="162">
        <f t="shared" si="5"/>
        <v>4.8611111111111107</v>
      </c>
      <c r="Z52" s="162">
        <f t="shared" si="5"/>
        <v>3.6111111111111112</v>
      </c>
      <c r="AA52" s="162" t="e">
        <f t="shared" si="5"/>
        <v>#DIV/0!</v>
      </c>
      <c r="AB52" s="162" t="e">
        <f t="shared" si="5"/>
        <v>#DIV/0!</v>
      </c>
    </row>
    <row r="53" spans="15:28" ht="29.25" customHeight="1">
      <c r="P53" s="162">
        <f>IF(SUM(P11:P50)=0, "", VAR(P11:P50))</f>
        <v>104.59656084656086</v>
      </c>
      <c r="Q53" s="333" t="s">
        <v>65</v>
      </c>
      <c r="R53" s="333"/>
      <c r="S53" s="162">
        <f t="shared" ref="S53:AB53" si="6">IF(SUM(S11:S50)=0,"",VAR(S11:S50))</f>
        <v>183.92076231998945</v>
      </c>
      <c r="T53" s="162">
        <f t="shared" si="6"/>
        <v>153.1529688768095</v>
      </c>
      <c r="U53" s="162">
        <f t="shared" si="6"/>
        <v>130.09050072664817</v>
      </c>
      <c r="V53" s="162">
        <f t="shared" si="6"/>
        <v>153.1529688768095</v>
      </c>
      <c r="W53" s="162">
        <f t="shared" si="6"/>
        <v>129.43573882188628</v>
      </c>
      <c r="X53" s="162">
        <f t="shared" si="6"/>
        <v>161.72319423211223</v>
      </c>
      <c r="Y53" s="162">
        <f t="shared" si="6"/>
        <v>129.43573882188628</v>
      </c>
      <c r="Z53" s="162">
        <f t="shared" si="6"/>
        <v>182.82137666798783</v>
      </c>
      <c r="AA53" s="162" t="e">
        <f t="shared" si="6"/>
        <v>#DIV/0!</v>
      </c>
      <c r="AB53" s="162" t="e">
        <f t="shared" si="6"/>
        <v>#DIV/0!</v>
      </c>
    </row>
    <row r="54" spans="15:28" ht="28.5" customHeight="1"/>
  </sheetData>
  <sortState ref="P10:Z46">
    <sortCondition descending="1" ref="P10:P46"/>
  </sortState>
  <mergeCells count="38">
    <mergeCell ref="H9:H11"/>
    <mergeCell ref="G29:G30"/>
    <mergeCell ref="D9:D11"/>
    <mergeCell ref="A9:A11"/>
    <mergeCell ref="B9:B11"/>
    <mergeCell ref="A29:A30"/>
    <mergeCell ref="Q53:R53"/>
    <mergeCell ref="K9:K11"/>
    <mergeCell ref="J29:J30"/>
    <mergeCell ref="J9:J11"/>
    <mergeCell ref="B29:B30"/>
    <mergeCell ref="C29:C30"/>
    <mergeCell ref="C9:C11"/>
    <mergeCell ref="A25:B25"/>
    <mergeCell ref="Q51:R51"/>
    <mergeCell ref="E9:E11"/>
    <mergeCell ref="A44:B44"/>
    <mergeCell ref="K29:K30"/>
    <mergeCell ref="G9:G11"/>
    <mergeCell ref="F29:F30"/>
    <mergeCell ref="I9:I11"/>
    <mergeCell ref="H29:H30"/>
    <mergeCell ref="N1:V1"/>
    <mergeCell ref="S8:AB8"/>
    <mergeCell ref="A8:L8"/>
    <mergeCell ref="A28:L28"/>
    <mergeCell ref="Q52:R52"/>
    <mergeCell ref="A45:B45"/>
    <mergeCell ref="A26:B26"/>
    <mergeCell ref="F9:F11"/>
    <mergeCell ref="L29:L30"/>
    <mergeCell ref="L9:L11"/>
    <mergeCell ref="D29:D30"/>
    <mergeCell ref="A4:B4"/>
    <mergeCell ref="A5:B5"/>
    <mergeCell ref="A6:B6"/>
    <mergeCell ref="I29:I30"/>
    <mergeCell ref="E29:E30"/>
  </mergeCells>
  <phoneticPr fontId="0" type="noConversion"/>
  <printOptions horizontalCentered="1"/>
  <pageMargins left="0.78740157480314965" right="0.47244094488188981" top="0.98425196850393704" bottom="0.98425196850393704" header="0.51181102362204722" footer="0.51181102362204722"/>
  <pageSetup paperSize="256" orientation="portrait" horizontalDpi="0" vertic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3:AB35"/>
  <sheetViews>
    <sheetView topLeftCell="A14" workbookViewId="0">
      <selection activeCell="J33" sqref="J33"/>
    </sheetView>
  </sheetViews>
  <sheetFormatPr defaultRowHeight="12.75"/>
  <cols>
    <col min="1" max="2" width="8.7109375" style="57" customWidth="1"/>
    <col min="3" max="3" width="13.140625" style="57" customWidth="1"/>
    <col min="4" max="4" width="13.85546875" style="58" customWidth="1"/>
    <col min="5" max="13" width="6.7109375" style="58" customWidth="1"/>
    <col min="14" max="17" width="9.140625" style="57"/>
    <col min="18" max="18" width="13.85546875" style="57" customWidth="1"/>
    <col min="19" max="16384" width="9.140625" style="57"/>
  </cols>
  <sheetData>
    <row r="13" spans="2:28" ht="13.5" thickBot="1">
      <c r="S13" s="58"/>
      <c r="T13" s="58"/>
      <c r="U13" s="58"/>
      <c r="V13" s="58"/>
      <c r="W13" s="58"/>
      <c r="X13" s="58"/>
      <c r="Y13" s="58"/>
      <c r="Z13" s="58"/>
      <c r="AA13" s="58"/>
      <c r="AB13" s="58"/>
    </row>
    <row r="14" spans="2:28" ht="15" customHeight="1">
      <c r="B14" s="56"/>
      <c r="C14" s="56"/>
      <c r="D14" s="56"/>
      <c r="E14" s="338" t="s">
        <v>7</v>
      </c>
      <c r="F14" s="339"/>
      <c r="G14" s="339"/>
      <c r="H14" s="339"/>
      <c r="I14" s="339"/>
      <c r="J14" s="339"/>
      <c r="K14" s="339"/>
      <c r="L14" s="339"/>
      <c r="M14" s="339"/>
      <c r="N14" s="340"/>
    </row>
    <row r="15" spans="2:28" s="61" customFormat="1" ht="20.100000000000001" customHeight="1" thickBot="1">
      <c r="B15" s="62"/>
      <c r="C15" s="62"/>
      <c r="D15" s="62"/>
      <c r="E15" s="84">
        <v>1</v>
      </c>
      <c r="F15" s="85">
        <v>2</v>
      </c>
      <c r="G15" s="85">
        <v>3</v>
      </c>
      <c r="H15" s="85">
        <v>4</v>
      </c>
      <c r="I15" s="85">
        <v>5</v>
      </c>
      <c r="J15" s="85">
        <v>6</v>
      </c>
      <c r="K15" s="85">
        <v>7</v>
      </c>
      <c r="L15" s="85">
        <v>8</v>
      </c>
      <c r="M15" s="85">
        <v>9</v>
      </c>
      <c r="N15" s="86">
        <v>10</v>
      </c>
    </row>
    <row r="16" spans="2:28" ht="14.25">
      <c r="B16" s="163" t="s">
        <v>59</v>
      </c>
      <c r="C16" s="87"/>
      <c r="D16" s="88"/>
      <c r="E16" s="94">
        <f>Data2!S51</f>
        <v>215</v>
      </c>
      <c r="F16" s="95">
        <f>Data2!T51</f>
        <v>145</v>
      </c>
      <c r="G16" s="95">
        <f>Data2!U51</f>
        <v>170</v>
      </c>
      <c r="H16" s="95">
        <f>Data2!V51</f>
        <v>145</v>
      </c>
      <c r="I16" s="95">
        <f>Data2!W51</f>
        <v>175</v>
      </c>
      <c r="J16" s="95">
        <f>Data2!X51</f>
        <v>140</v>
      </c>
      <c r="K16" s="95">
        <f>Data2!Y51</f>
        <v>175</v>
      </c>
      <c r="L16" s="95">
        <f>Data2!Z51</f>
        <v>130</v>
      </c>
      <c r="M16" s="95" t="e">
        <f>Data2!AA51</f>
        <v>#DIV/0!</v>
      </c>
      <c r="N16" s="96" t="e">
        <f>Data2!AB51</f>
        <v>#DIV/0!</v>
      </c>
    </row>
    <row r="17" spans="1:15" ht="14.25">
      <c r="B17" s="164" t="s">
        <v>70</v>
      </c>
      <c r="C17" s="75"/>
      <c r="D17" s="90"/>
      <c r="E17" s="97">
        <f>Data2!C25</f>
        <v>46</v>
      </c>
      <c r="F17" s="98">
        <f>Data2!D25</f>
        <v>30</v>
      </c>
      <c r="G17" s="98">
        <f>Data2!E25</f>
        <v>41</v>
      </c>
      <c r="H17" s="98">
        <f>Data2!F25</f>
        <v>45</v>
      </c>
      <c r="I17" s="98">
        <f>Data2!G25</f>
        <v>35</v>
      </c>
      <c r="J17" s="98" t="str">
        <f>Data2!H25</f>
        <v/>
      </c>
      <c r="K17" s="98" t="str">
        <f>Data2!I25</f>
        <v/>
      </c>
      <c r="L17" s="98" t="str">
        <f>Data2!J25</f>
        <v/>
      </c>
      <c r="M17" s="98" t="str">
        <f>Data2!K25</f>
        <v/>
      </c>
      <c r="N17" s="99" t="str">
        <f>Data2!L25</f>
        <v/>
      </c>
    </row>
    <row r="18" spans="1:15" ht="14.25">
      <c r="B18" s="164" t="s">
        <v>63</v>
      </c>
      <c r="C18" s="75"/>
      <c r="D18" s="90"/>
      <c r="E18" s="97">
        <f>Data2!C44</f>
        <v>9</v>
      </c>
      <c r="F18" s="98">
        <f>Data2!D44</f>
        <v>9</v>
      </c>
      <c r="G18" s="98">
        <f>Data2!E44</f>
        <v>26</v>
      </c>
      <c r="H18" s="98">
        <f>Data2!F44</f>
        <v>19</v>
      </c>
      <c r="I18" s="98">
        <f>Data2!G44</f>
        <v>16</v>
      </c>
      <c r="J18" s="98" t="str">
        <f>Data2!H44</f>
        <v/>
      </c>
      <c r="K18" s="98" t="str">
        <f>Data2!I44</f>
        <v/>
      </c>
      <c r="L18" s="98" t="str">
        <f>Data2!J44</f>
        <v/>
      </c>
      <c r="M18" s="98" t="str">
        <f>Data2!K44</f>
        <v/>
      </c>
      <c r="N18" s="99" t="str">
        <f>Data2!L44</f>
        <v/>
      </c>
    </row>
    <row r="19" spans="1:15" ht="14.25">
      <c r="B19" s="164" t="s">
        <v>60</v>
      </c>
      <c r="C19" s="75"/>
      <c r="D19" s="90"/>
      <c r="E19" s="97">
        <f>Data2!S52</f>
        <v>5.9722222222222223</v>
      </c>
      <c r="F19" s="98">
        <f>Data2!T52</f>
        <v>4.0277777777777777</v>
      </c>
      <c r="G19" s="98">
        <f>Data2!U52</f>
        <v>4.7222222222222223</v>
      </c>
      <c r="H19" s="98">
        <f>Data2!V52</f>
        <v>4.0277777777777777</v>
      </c>
      <c r="I19" s="98">
        <f>Data2!W52</f>
        <v>4.8611111111111107</v>
      </c>
      <c r="J19" s="98">
        <f>Data2!X52</f>
        <v>3.8888888888888888</v>
      </c>
      <c r="K19" s="98">
        <f>Data2!Y52</f>
        <v>4.8611111111111107</v>
      </c>
      <c r="L19" s="98">
        <f>Data2!Z52</f>
        <v>3.6111111111111112</v>
      </c>
      <c r="M19" s="98" t="e">
        <f>Data2!AA52</f>
        <v>#DIV/0!</v>
      </c>
      <c r="N19" s="99" t="e">
        <f>Data2!AB52</f>
        <v>#DIV/0!</v>
      </c>
    </row>
    <row r="20" spans="1:15" ht="14.25">
      <c r="B20" s="164" t="s">
        <v>62</v>
      </c>
      <c r="C20" s="75"/>
      <c r="D20" s="90"/>
      <c r="E20" s="165">
        <f>Data2!C26</f>
        <v>4.5999999999999996</v>
      </c>
      <c r="F20" s="166">
        <f>Data2!D26</f>
        <v>3</v>
      </c>
      <c r="G20" s="166">
        <f>Data2!E26</f>
        <v>4.0999999999999996</v>
      </c>
      <c r="H20" s="166">
        <f>Data2!F26</f>
        <v>4.5</v>
      </c>
      <c r="I20" s="166">
        <f>Data2!G26</f>
        <v>3.5</v>
      </c>
      <c r="J20" s="166" t="str">
        <f>Data2!H26</f>
        <v/>
      </c>
      <c r="K20" s="166" t="str">
        <f>Data2!I26</f>
        <v/>
      </c>
      <c r="L20" s="166" t="str">
        <f>Data2!J26</f>
        <v/>
      </c>
      <c r="M20" s="166" t="str">
        <f>Data2!K26</f>
        <v/>
      </c>
      <c r="N20" s="167" t="str">
        <f>Data2!L26</f>
        <v/>
      </c>
    </row>
    <row r="21" spans="1:15" ht="14.25">
      <c r="B21" s="164" t="s">
        <v>61</v>
      </c>
      <c r="C21" s="75"/>
      <c r="D21" s="90"/>
      <c r="E21" s="97">
        <f>Data2!C45</f>
        <v>0.9</v>
      </c>
      <c r="F21" s="98">
        <f>Data2!D45</f>
        <v>0.9</v>
      </c>
      <c r="G21" s="98">
        <f>Data2!E45</f>
        <v>2.6</v>
      </c>
      <c r="H21" s="98">
        <f>Data2!F45</f>
        <v>1.9</v>
      </c>
      <c r="I21" s="98">
        <f>Data2!G45</f>
        <v>1.6</v>
      </c>
      <c r="J21" s="98" t="str">
        <f>Data2!H45</f>
        <v/>
      </c>
      <c r="K21" s="98" t="str">
        <f>Data2!I45</f>
        <v/>
      </c>
      <c r="L21" s="98" t="str">
        <f>Data2!J45</f>
        <v/>
      </c>
      <c r="M21" s="98" t="str">
        <f>Data2!K45</f>
        <v/>
      </c>
      <c r="N21" s="99" t="str">
        <f>Data2!L45</f>
        <v/>
      </c>
    </row>
    <row r="22" spans="1:15" ht="14.25">
      <c r="B22" s="164" t="s">
        <v>64</v>
      </c>
      <c r="C22" s="75"/>
      <c r="D22" s="90"/>
      <c r="E22" s="166">
        <f t="shared" ref="E22:N22" si="0">IF(SUM(E20)=0,"",E20-E21)</f>
        <v>3.6999999999999997</v>
      </c>
      <c r="F22" s="166">
        <f t="shared" si="0"/>
        <v>2.1</v>
      </c>
      <c r="G22" s="166">
        <f t="shared" si="0"/>
        <v>1.4999999999999996</v>
      </c>
      <c r="H22" s="166">
        <f t="shared" si="0"/>
        <v>2.6</v>
      </c>
      <c r="I22" s="166">
        <f t="shared" si="0"/>
        <v>1.9</v>
      </c>
      <c r="J22" s="166" t="str">
        <f t="shared" si="0"/>
        <v/>
      </c>
      <c r="K22" s="166" t="str">
        <f t="shared" si="0"/>
        <v/>
      </c>
      <c r="L22" s="166" t="str">
        <f t="shared" si="0"/>
        <v/>
      </c>
      <c r="M22" s="166" t="str">
        <f t="shared" si="0"/>
        <v/>
      </c>
      <c r="N22" s="167" t="str">
        <f t="shared" si="0"/>
        <v/>
      </c>
    </row>
    <row r="23" spans="1:15" ht="14.25">
      <c r="B23" s="164" t="s">
        <v>69</v>
      </c>
      <c r="C23" s="75"/>
      <c r="D23" s="90"/>
      <c r="E23" s="173" t="str">
        <f>Data2!C5</f>
        <v>5</v>
      </c>
      <c r="F23" s="174" t="str">
        <f>Data2!D5</f>
        <v>5</v>
      </c>
      <c r="G23" s="174" t="str">
        <f>Data2!E5</f>
        <v>5</v>
      </c>
      <c r="H23" s="174" t="str">
        <f>Data2!F5</f>
        <v>5</v>
      </c>
      <c r="I23" s="174" t="str">
        <f>Data2!G5</f>
        <v>5</v>
      </c>
      <c r="J23" s="98" t="str">
        <f>Data2!H5</f>
        <v>5</v>
      </c>
      <c r="K23" s="98" t="str">
        <f>Data2!I5</f>
        <v>5</v>
      </c>
      <c r="L23" s="98" t="str">
        <f>Data2!J5</f>
        <v>5</v>
      </c>
      <c r="M23" s="98" t="str">
        <f>Data2!K5</f>
        <v/>
      </c>
      <c r="N23" s="99" t="str">
        <f>Data2!L5</f>
        <v/>
      </c>
    </row>
    <row r="24" spans="1:15" ht="15.75">
      <c r="B24" s="164" t="s">
        <v>68</v>
      </c>
      <c r="C24" s="75"/>
      <c r="D24" s="90"/>
      <c r="E24" s="97">
        <f>Data2!S53</f>
        <v>183.92076231998945</v>
      </c>
      <c r="F24" s="98">
        <f>Data2!T53</f>
        <v>153.1529688768095</v>
      </c>
      <c r="G24" s="98">
        <f>Data2!U53</f>
        <v>130.09050072664817</v>
      </c>
      <c r="H24" s="98">
        <f>Data2!V53</f>
        <v>153.1529688768095</v>
      </c>
      <c r="I24" s="98">
        <f>Data2!W53</f>
        <v>129.43573882188628</v>
      </c>
      <c r="J24" s="98">
        <f>Data2!X53</f>
        <v>161.72319423211223</v>
      </c>
      <c r="K24" s="98">
        <f>Data2!Y53</f>
        <v>129.43573882188628</v>
      </c>
      <c r="L24" s="98">
        <f>Data2!Z53</f>
        <v>182.82137666798783</v>
      </c>
      <c r="M24" s="98" t="e">
        <f>Data2!AA53</f>
        <v>#DIV/0!</v>
      </c>
      <c r="N24" s="99" t="e">
        <f>Data2!AB53</f>
        <v>#DIV/0!</v>
      </c>
    </row>
    <row r="25" spans="1:15" ht="15.75">
      <c r="B25" s="164" t="s">
        <v>67</v>
      </c>
      <c r="C25" s="75"/>
      <c r="D25" s="90"/>
      <c r="E25" s="341">
        <f>Data2!P53</f>
        <v>104.59656084656086</v>
      </c>
      <c r="F25" s="342"/>
      <c r="G25" s="342"/>
      <c r="H25" s="342"/>
      <c r="I25" s="342"/>
      <c r="J25" s="342"/>
      <c r="K25" s="342"/>
      <c r="L25" s="342"/>
      <c r="M25" s="342"/>
      <c r="N25" s="343"/>
    </row>
    <row r="26" spans="1:15" ht="14.25">
      <c r="B26" s="172" t="s">
        <v>78</v>
      </c>
      <c r="C26" s="75"/>
      <c r="D26" s="90"/>
      <c r="E26" s="341">
        <f>COUNTIF(Data2!C5:L5,"&gt; ")</f>
        <v>8</v>
      </c>
      <c r="F26" s="342"/>
      <c r="G26" s="342"/>
      <c r="H26" s="342"/>
      <c r="I26" s="342"/>
      <c r="J26" s="342"/>
      <c r="K26" s="342"/>
      <c r="L26" s="342"/>
      <c r="M26" s="342"/>
      <c r="N26" s="343"/>
    </row>
    <row r="27" spans="1:15" ht="14.25">
      <c r="B27" s="89"/>
      <c r="C27" s="75"/>
      <c r="D27" s="90"/>
      <c r="E27" s="97"/>
      <c r="F27" s="98"/>
      <c r="G27" s="98"/>
      <c r="H27" s="98"/>
      <c r="I27" s="98"/>
      <c r="J27" s="98"/>
      <c r="K27" s="98"/>
      <c r="L27" s="98"/>
      <c r="M27" s="98"/>
      <c r="N27" s="99"/>
    </row>
    <row r="28" spans="1:15" ht="14.25">
      <c r="B28" s="89"/>
      <c r="C28" s="75"/>
      <c r="D28" s="90"/>
      <c r="E28" s="97"/>
      <c r="F28" s="98"/>
      <c r="G28" s="98"/>
      <c r="H28" s="98"/>
      <c r="I28" s="98"/>
      <c r="J28" s="98"/>
      <c r="K28" s="98"/>
      <c r="L28" s="98"/>
      <c r="M28" s="98"/>
      <c r="N28" s="99"/>
    </row>
    <row r="29" spans="1:15" ht="15" thickBot="1">
      <c r="B29" s="91"/>
      <c r="C29" s="92"/>
      <c r="D29" s="93"/>
      <c r="E29" s="100"/>
      <c r="F29" s="101"/>
      <c r="G29" s="101"/>
      <c r="H29" s="101"/>
      <c r="I29" s="101"/>
      <c r="J29" s="101"/>
      <c r="K29" s="101"/>
      <c r="L29" s="101"/>
      <c r="M29" s="101"/>
      <c r="N29" s="102"/>
    </row>
    <row r="30" spans="1:15" ht="13.5" thickBot="1">
      <c r="A30" s="56"/>
      <c r="B30" s="59"/>
      <c r="C30" s="56"/>
      <c r="D30" s="56"/>
      <c r="E30" s="74"/>
      <c r="F30" s="74"/>
      <c r="G30" s="74"/>
      <c r="H30" s="74"/>
      <c r="I30" s="74"/>
      <c r="J30" s="74"/>
      <c r="K30" s="74"/>
      <c r="L30" s="74"/>
      <c r="M30" s="74"/>
      <c r="N30" s="74"/>
    </row>
    <row r="31" spans="1:15" s="61" customFormat="1" ht="20.100000000000001" customHeight="1" thickBot="1">
      <c r="A31" s="62"/>
      <c r="B31" s="105" t="s">
        <v>35</v>
      </c>
      <c r="C31" s="106"/>
      <c r="D31" s="107"/>
      <c r="E31" s="108">
        <f>IF(SUM(E19)=0,"",E19/E23)</f>
        <v>1.1944444444444444</v>
      </c>
      <c r="F31" s="108">
        <f t="shared" ref="F31:N31" si="1">IF(SUM(F19)=0,"",F19/F23)</f>
        <v>0.80555555555555558</v>
      </c>
      <c r="G31" s="108">
        <f t="shared" si="1"/>
        <v>0.94444444444444442</v>
      </c>
      <c r="H31" s="108">
        <f t="shared" si="1"/>
        <v>0.80555555555555558</v>
      </c>
      <c r="I31" s="108">
        <f t="shared" si="1"/>
        <v>0.9722222222222221</v>
      </c>
      <c r="J31" s="108">
        <f t="shared" si="1"/>
        <v>0.77777777777777779</v>
      </c>
      <c r="K31" s="108">
        <f t="shared" si="1"/>
        <v>0.9722222222222221</v>
      </c>
      <c r="L31" s="108">
        <f t="shared" si="1"/>
        <v>0.72222222222222221</v>
      </c>
      <c r="M31" s="108" t="e">
        <f t="shared" si="1"/>
        <v>#DIV/0!</v>
      </c>
      <c r="N31" s="108" t="e">
        <f t="shared" si="1"/>
        <v>#DIV/0!</v>
      </c>
      <c r="O31" s="168"/>
    </row>
    <row r="32" spans="1:15" s="61" customFormat="1" ht="8.1" customHeight="1" thickBot="1">
      <c r="B32" s="103"/>
      <c r="C32" s="82"/>
      <c r="D32" s="83"/>
      <c r="E32" s="81"/>
      <c r="F32" s="81"/>
      <c r="G32" s="81"/>
      <c r="H32" s="81"/>
      <c r="I32" s="81"/>
      <c r="J32" s="81"/>
      <c r="K32" s="81"/>
      <c r="L32" s="81"/>
      <c r="M32" s="81"/>
      <c r="N32" s="104"/>
    </row>
    <row r="33" spans="2:15" s="61" customFormat="1" ht="20.100000000000001" customHeight="1" thickBot="1">
      <c r="B33" s="105" t="s">
        <v>36</v>
      </c>
      <c r="C33" s="106"/>
      <c r="D33" s="107"/>
      <c r="E33" s="108">
        <f t="shared" ref="E33:N33" si="2">IF(SUM(E20)=0,"",E22/E23)</f>
        <v>0.74</v>
      </c>
      <c r="F33" s="108">
        <f t="shared" si="2"/>
        <v>0.42000000000000004</v>
      </c>
      <c r="G33" s="108">
        <f t="shared" si="2"/>
        <v>0.29999999999999993</v>
      </c>
      <c r="H33" s="108">
        <f t="shared" si="2"/>
        <v>0.52</v>
      </c>
      <c r="I33" s="108">
        <f t="shared" si="2"/>
        <v>0.38</v>
      </c>
      <c r="J33" s="108" t="str">
        <f t="shared" si="2"/>
        <v/>
      </c>
      <c r="K33" s="108" t="str">
        <f t="shared" si="2"/>
        <v/>
      </c>
      <c r="L33" s="108" t="str">
        <f t="shared" si="2"/>
        <v/>
      </c>
      <c r="M33" s="108" t="str">
        <f t="shared" si="2"/>
        <v/>
      </c>
      <c r="N33" s="108" t="str">
        <f t="shared" si="2"/>
        <v/>
      </c>
      <c r="O33" s="168"/>
    </row>
    <row r="34" spans="2:15" ht="6" customHeight="1" thickBot="1">
      <c r="B34" s="103"/>
      <c r="C34" s="82"/>
      <c r="D34" s="83"/>
      <c r="E34" s="81"/>
      <c r="F34" s="81"/>
      <c r="G34" s="81"/>
      <c r="H34" s="81"/>
      <c r="I34" s="81"/>
      <c r="J34" s="81"/>
      <c r="K34" s="81"/>
      <c r="L34" s="81"/>
      <c r="M34" s="81"/>
      <c r="N34" s="104"/>
    </row>
    <row r="35" spans="2:15" ht="33" customHeight="1" thickBot="1">
      <c r="B35" s="105" t="s">
        <v>66</v>
      </c>
      <c r="C35" s="106"/>
      <c r="D35" s="107"/>
      <c r="E35" s="344" t="e">
        <f>IF(SUM(E24:N24)=0,"",(E26/(E26-1))*(1-(SUM(E24:N24)/Data2!P53)))</f>
        <v>#DIV/0!</v>
      </c>
      <c r="F35" s="345"/>
      <c r="G35" s="345"/>
      <c r="H35" s="345"/>
      <c r="I35" s="345"/>
      <c r="J35" s="345"/>
      <c r="K35" s="345"/>
      <c r="L35" s="345"/>
      <c r="M35" s="345"/>
      <c r="N35" s="346"/>
    </row>
  </sheetData>
  <mergeCells count="4">
    <mergeCell ref="E14:N14"/>
    <mergeCell ref="E25:N25"/>
    <mergeCell ref="E35:N35"/>
    <mergeCell ref="E26:N26"/>
  </mergeCells>
  <phoneticPr fontId="0" type="noConversion"/>
  <printOptions horizontalCentered="1"/>
  <pageMargins left="0.78740157480314965" right="0.31496062992125984" top="0.98425196850393704" bottom="0.98425196850393704" header="0.51181102362204722" footer="0.51181102362204722"/>
  <pageSetup paperSize="256" orientation="portrait" horizontalDpi="300" verticalDpi="300" r:id="rId1"/>
  <headerFooter alignWithMargins="0">
    <oddFooter xml:space="preserve">&amp;R&amp;"Arial Narrow,Bold Italic"&amp;8Lembar  Proses </oddFooter>
  </headerFooter>
  <drawing r:id="rId2"/>
  <legacyDrawing r:id="rId3"/>
  <oleObjects>
    <mc:AlternateContent xmlns:mc="http://schemas.openxmlformats.org/markup-compatibility/2006">
      <mc:Choice Requires="x14">
        <oleObject progId="Equation.3" shapeId="1040" r:id="rId4">
          <objectPr defaultSize="0" autoPict="0" r:id="rId5">
            <anchor moveWithCells="1">
              <from>
                <xdr:col>1</xdr:col>
                <xdr:colOff>333375</xdr:colOff>
                <xdr:row>14</xdr:row>
                <xdr:rowOff>85725</xdr:rowOff>
              </from>
              <to>
                <xdr:col>3</xdr:col>
                <xdr:colOff>876300</xdr:colOff>
                <xdr:row>14</xdr:row>
                <xdr:rowOff>85725</xdr:rowOff>
              </to>
            </anchor>
          </objectPr>
        </oleObject>
      </mc:Choice>
      <mc:Fallback>
        <oleObject progId="Equation.3" shapeId="1040" r:id="rId4"/>
      </mc:Fallback>
    </mc:AlternateContent>
    <mc:AlternateContent xmlns:mc="http://schemas.openxmlformats.org/markup-compatibility/2006">
      <mc:Choice Requires="x14">
        <oleObject progId="Equation.3" shapeId="1098" r:id="rId6">
          <objectPr defaultSize="0" autoPict="0" r:id="rId7">
            <anchor moveWithCells="1" sizeWithCells="1">
              <from>
                <xdr:col>2</xdr:col>
                <xdr:colOff>228600</xdr:colOff>
                <xdr:row>34</xdr:row>
                <xdr:rowOff>38100</xdr:rowOff>
              </from>
              <to>
                <xdr:col>3</xdr:col>
                <xdr:colOff>66675</xdr:colOff>
                <xdr:row>34</xdr:row>
                <xdr:rowOff>409575</xdr:rowOff>
              </to>
            </anchor>
          </objectPr>
        </oleObject>
      </mc:Choice>
      <mc:Fallback>
        <oleObject progId="Equation.3" shapeId="10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O72"/>
  <sheetViews>
    <sheetView tabSelected="1" workbookViewId="0">
      <selection activeCell="E64" sqref="E64"/>
    </sheetView>
  </sheetViews>
  <sheetFormatPr defaultRowHeight="12.75"/>
  <cols>
    <col min="1" max="1" width="9.140625" style="16"/>
    <col min="2" max="2" width="3.7109375" style="16" customWidth="1"/>
    <col min="3" max="3" width="28.7109375" style="16" customWidth="1"/>
    <col min="4" max="4" width="6.7109375" style="16" customWidth="1"/>
    <col min="5" max="5" width="8.7109375" style="116" customWidth="1"/>
    <col min="6" max="6" width="3.7109375" style="16" customWidth="1"/>
    <col min="7" max="7" width="18.7109375" style="16" customWidth="1"/>
    <col min="8" max="8" width="4.7109375" style="16" customWidth="1"/>
    <col min="9" max="9" width="1.42578125" style="16" customWidth="1"/>
    <col min="10" max="10" width="3.7109375" style="16" customWidth="1"/>
    <col min="11" max="11" width="7.7109375" style="16" customWidth="1"/>
    <col min="12" max="13" width="5.7109375" style="16" customWidth="1"/>
    <col min="14" max="15" width="15.7109375" style="16" customWidth="1"/>
    <col min="16" max="17" width="5.7109375" style="16" customWidth="1"/>
    <col min="18" max="16384" width="9.140625" style="16"/>
  </cols>
  <sheetData>
    <row r="1" spans="2:15" ht="30" customHeight="1">
      <c r="B1" s="364" t="s">
        <v>73</v>
      </c>
      <c r="C1" s="365"/>
      <c r="D1" s="365"/>
      <c r="E1" s="365"/>
      <c r="F1" s="365"/>
      <c r="G1" s="365"/>
      <c r="H1" s="365"/>
      <c r="I1" s="365"/>
      <c r="J1" s="365"/>
      <c r="K1" s="366"/>
      <c r="L1" s="69"/>
    </row>
    <row r="2" spans="2:15" ht="5.0999999999999996" customHeight="1"/>
    <row r="3" spans="2:15" s="14" customFormat="1" ht="8.1" customHeight="1">
      <c r="B3" s="348" t="s">
        <v>12</v>
      </c>
      <c r="C3" s="17"/>
      <c r="D3" s="17"/>
      <c r="E3" s="117"/>
      <c r="F3" s="17"/>
      <c r="G3" s="17"/>
      <c r="H3" s="17"/>
      <c r="I3" s="17"/>
      <c r="J3" s="17"/>
      <c r="K3" s="18"/>
      <c r="L3" s="13"/>
    </row>
    <row r="4" spans="2:15" s="14" customFormat="1" ht="12" customHeight="1">
      <c r="B4" s="349"/>
      <c r="C4" s="42" t="s">
        <v>15</v>
      </c>
      <c r="D4" s="41" t="s">
        <v>13</v>
      </c>
      <c r="E4" s="361" t="str">
        <f>""&amp;Data1!E4</f>
        <v>SMA NEGERI 6 KENDARI</v>
      </c>
      <c r="F4" s="361"/>
      <c r="G4" s="361"/>
      <c r="H4" s="361"/>
      <c r="I4" s="361"/>
      <c r="J4" s="361"/>
      <c r="K4" s="64"/>
      <c r="L4" s="13"/>
    </row>
    <row r="5" spans="2:15" s="14" customFormat="1" ht="12" customHeight="1">
      <c r="B5" s="349"/>
      <c r="C5" s="42" t="s">
        <v>16</v>
      </c>
      <c r="D5" s="41" t="s">
        <v>13</v>
      </c>
      <c r="E5" s="361" t="str">
        <f>""&amp;Data1!E5</f>
        <v>Matematika Peminatan</v>
      </c>
      <c r="F5" s="361"/>
      <c r="G5" s="361"/>
      <c r="H5" s="361"/>
      <c r="I5" s="361"/>
      <c r="J5" s="361"/>
      <c r="K5" s="64"/>
      <c r="L5" s="13"/>
    </row>
    <row r="6" spans="2:15" s="14" customFormat="1" ht="12" customHeight="1">
      <c r="B6" s="349"/>
      <c r="C6" s="42" t="s">
        <v>71</v>
      </c>
      <c r="D6" s="41" t="s">
        <v>13</v>
      </c>
      <c r="E6" s="361" t="str">
        <f>""&amp;Data1!E6</f>
        <v>XII MIPA 2/  SATU (GANJIL )</v>
      </c>
      <c r="F6" s="361"/>
      <c r="G6" s="361"/>
      <c r="H6" s="361"/>
      <c r="I6" s="361"/>
      <c r="J6" s="361"/>
      <c r="K6" s="64"/>
      <c r="L6" s="13"/>
    </row>
    <row r="7" spans="2:15" s="14" customFormat="1" ht="12" customHeight="1">
      <c r="B7" s="349"/>
      <c r="C7" s="42" t="s">
        <v>17</v>
      </c>
      <c r="D7" s="41" t="s">
        <v>13</v>
      </c>
      <c r="E7" s="361" t="str">
        <f>""&amp;Data1!E7</f>
        <v>Penilaian Tengah Semester</v>
      </c>
      <c r="F7" s="361"/>
      <c r="G7" s="361"/>
      <c r="H7" s="361"/>
      <c r="I7" s="361"/>
      <c r="J7" s="361"/>
      <c r="K7" s="64"/>
      <c r="L7" s="13"/>
    </row>
    <row r="8" spans="2:15" s="14" customFormat="1" ht="12" customHeight="1">
      <c r="B8" s="349"/>
      <c r="C8" s="42" t="s">
        <v>52</v>
      </c>
      <c r="D8" s="41" t="s">
        <v>13</v>
      </c>
      <c r="E8" s="361" t="str">
        <f>""&amp;Data1!E8</f>
        <v>Limit Fungsi</v>
      </c>
      <c r="F8" s="361"/>
      <c r="G8" s="361"/>
      <c r="H8" s="361"/>
      <c r="I8" s="361"/>
      <c r="J8" s="361"/>
      <c r="K8" s="64"/>
      <c r="L8" s="13"/>
    </row>
    <row r="9" spans="2:15" s="14" customFormat="1" ht="12" customHeight="1">
      <c r="B9" s="349"/>
      <c r="C9" s="42" t="s">
        <v>14</v>
      </c>
      <c r="D9" s="41" t="s">
        <v>13</v>
      </c>
      <c r="E9" s="361" t="str">
        <f>""&amp;Data1!E9</f>
        <v>3.1 DAN 3.2</v>
      </c>
      <c r="F9" s="361"/>
      <c r="G9" s="361"/>
      <c r="H9" s="361"/>
      <c r="I9" s="361"/>
      <c r="J9" s="361"/>
      <c r="K9" s="64"/>
      <c r="L9" s="13"/>
    </row>
    <row r="10" spans="2:15" s="14" customFormat="1" ht="12" customHeight="1">
      <c r="B10" s="349"/>
      <c r="C10" s="42" t="s">
        <v>72</v>
      </c>
      <c r="D10" s="41" t="s">
        <v>13</v>
      </c>
      <c r="E10" s="362">
        <f>Data1!E10</f>
        <v>43364</v>
      </c>
      <c r="F10" s="362"/>
      <c r="G10" s="362"/>
      <c r="H10" s="42"/>
      <c r="I10" s="42"/>
      <c r="J10" s="42"/>
      <c r="K10" s="64"/>
      <c r="L10" s="13"/>
    </row>
    <row r="11" spans="2:15" s="14" customFormat="1" ht="12" customHeight="1">
      <c r="B11" s="349"/>
      <c r="C11" s="42" t="s">
        <v>101</v>
      </c>
      <c r="D11" s="41" t="s">
        <v>13</v>
      </c>
      <c r="E11" s="125" t="str">
        <f>""&amp;Data1!E11</f>
        <v>75</v>
      </c>
      <c r="F11" s="42"/>
      <c r="G11" s="42"/>
      <c r="H11" s="42"/>
      <c r="I11" s="42"/>
      <c r="J11" s="42"/>
      <c r="K11" s="64"/>
      <c r="L11" s="13"/>
    </row>
    <row r="12" spans="2:15" s="14" customFormat="1" ht="12" customHeight="1">
      <c r="B12" s="349"/>
      <c r="C12" s="42" t="s">
        <v>18</v>
      </c>
      <c r="D12" s="41" t="s">
        <v>13</v>
      </c>
      <c r="E12" s="125" t="str">
        <f>""&amp;Data1!E12</f>
        <v>Abdul Samad, S.Pd., M.Pd</v>
      </c>
      <c r="F12" s="42"/>
      <c r="G12" s="42"/>
      <c r="H12" s="42"/>
      <c r="I12" s="42"/>
      <c r="J12" s="42"/>
      <c r="K12" s="64"/>
      <c r="L12" s="13"/>
    </row>
    <row r="13" spans="2:15" s="14" customFormat="1" ht="12" customHeight="1">
      <c r="B13" s="350"/>
      <c r="C13" s="169" t="s">
        <v>53</v>
      </c>
      <c r="D13" s="72" t="s">
        <v>13</v>
      </c>
      <c r="E13" s="371" t="str">
        <f>""&amp;Data1!E13</f>
        <v>19720802 199702 1 001</v>
      </c>
      <c r="F13" s="371"/>
      <c r="G13" s="371"/>
      <c r="H13" s="371"/>
      <c r="I13" s="371"/>
      <c r="J13" s="371"/>
      <c r="K13" s="65"/>
      <c r="L13" s="13"/>
      <c r="N13" s="16"/>
      <c r="O13" s="16"/>
    </row>
    <row r="14" spans="2:15" s="14" customFormat="1" ht="7.5" customHeight="1">
      <c r="B14" s="15"/>
      <c r="C14" s="13"/>
      <c r="D14" s="20"/>
      <c r="E14" s="118"/>
      <c r="F14" s="13"/>
      <c r="G14" s="13"/>
      <c r="H14" s="13"/>
      <c r="I14" s="13"/>
      <c r="J14" s="13"/>
      <c r="N14" s="16"/>
      <c r="O14" s="16"/>
    </row>
    <row r="15" spans="2:15" ht="11.1" customHeight="1">
      <c r="B15" s="360" t="s">
        <v>0</v>
      </c>
      <c r="C15" s="363" t="s">
        <v>1</v>
      </c>
      <c r="D15" s="367" t="s">
        <v>8</v>
      </c>
      <c r="E15" s="354" t="s">
        <v>10</v>
      </c>
      <c r="F15" s="369" t="s">
        <v>37</v>
      </c>
      <c r="G15" s="369"/>
      <c r="H15" s="369"/>
      <c r="I15" s="369"/>
      <c r="J15" s="360"/>
      <c r="K15" s="360"/>
      <c r="L15" s="67"/>
    </row>
    <row r="16" spans="2:15" ht="11.1" customHeight="1">
      <c r="B16" s="360"/>
      <c r="C16" s="363"/>
      <c r="D16" s="368"/>
      <c r="E16" s="355"/>
      <c r="F16" s="369"/>
      <c r="G16" s="369"/>
      <c r="H16" s="369"/>
      <c r="I16" s="369"/>
      <c r="J16" s="360"/>
      <c r="K16" s="360"/>
      <c r="L16" s="67"/>
    </row>
    <row r="17" spans="2:12" ht="11.1" customHeight="1">
      <c r="B17" s="360"/>
      <c r="C17" s="363"/>
      <c r="D17" s="27" t="s">
        <v>56</v>
      </c>
      <c r="E17" s="356"/>
      <c r="F17" s="369"/>
      <c r="G17" s="369"/>
      <c r="H17" s="369"/>
      <c r="I17" s="369"/>
      <c r="J17" s="360"/>
      <c r="K17" s="360"/>
      <c r="L17" s="67"/>
    </row>
    <row r="18" spans="2:12" s="21" customFormat="1" ht="9.9499999999999993" customHeight="1">
      <c r="B18" s="123">
        <v>1</v>
      </c>
      <c r="C18" s="212" t="str">
        <f>IF(Data1!C24="","",""&amp;Data1!C24)</f>
        <v>ALIF AKBAR</v>
      </c>
      <c r="D18" s="126">
        <f>Data1!N24</f>
        <v>10</v>
      </c>
      <c r="E18" s="127">
        <f>Data1!O24</f>
        <v>25</v>
      </c>
      <c r="F18" s="357" t="str">
        <f>IF(E18="","",IF(E18&lt;Data1!$E$11,"Belum Tuntas","Tuntas"))</f>
        <v>Belum Tuntas</v>
      </c>
      <c r="G18" s="358"/>
      <c r="H18" s="358"/>
      <c r="I18" s="358"/>
      <c r="J18" s="358"/>
      <c r="K18" s="359"/>
      <c r="L18" s="70"/>
    </row>
    <row r="19" spans="2:12" s="21" customFormat="1" ht="9.9499999999999993" customHeight="1">
      <c r="B19" s="124">
        <v>2</v>
      </c>
      <c r="C19" s="213" t="str">
        <f>IF(Data1!C25="","",""&amp;Data1!C25)</f>
        <v>ALISA</v>
      </c>
      <c r="D19" s="128">
        <f>Data1!N25</f>
        <v>10</v>
      </c>
      <c r="E19" s="129">
        <f>Data1!O25</f>
        <v>25</v>
      </c>
      <c r="F19" s="357" t="str">
        <f>IF(E19="","",IF(E19&lt;Data1!$E$11,"Belum Tuntas","Tuntas"))</f>
        <v>Belum Tuntas</v>
      </c>
      <c r="G19" s="358"/>
      <c r="H19" s="358"/>
      <c r="I19" s="358"/>
      <c r="J19" s="358"/>
      <c r="K19" s="359"/>
      <c r="L19" s="70"/>
    </row>
    <row r="20" spans="2:12" s="21" customFormat="1" ht="9.9499999999999993" customHeight="1">
      <c r="B20" s="124">
        <v>3</v>
      </c>
      <c r="C20" s="213" t="str">
        <f>IF(Data1!C26="","",""&amp;Data1!C26)</f>
        <v>AMIR</v>
      </c>
      <c r="D20" s="128">
        <f>Data1!N26</f>
        <v>35</v>
      </c>
      <c r="E20" s="129">
        <f>Data1!O26</f>
        <v>87.5</v>
      </c>
      <c r="F20" s="357" t="str">
        <f>IF(E20="","",IF(E20&lt;Data1!$E$11,"Belum Tuntas","Tuntas"))</f>
        <v>Tuntas</v>
      </c>
      <c r="G20" s="358"/>
      <c r="H20" s="358"/>
      <c r="I20" s="358"/>
      <c r="J20" s="358"/>
      <c r="K20" s="359"/>
      <c r="L20" s="70"/>
    </row>
    <row r="21" spans="2:12" s="21" customFormat="1" ht="9.9499999999999993" customHeight="1">
      <c r="B21" s="124">
        <v>4</v>
      </c>
      <c r="C21" s="213" t="str">
        <f>IF(Data1!C27="","",""&amp;Data1!C27)</f>
        <v>ASWADILSYAH</v>
      </c>
      <c r="D21" s="128">
        <f>Data1!N27</f>
        <v>25</v>
      </c>
      <c r="E21" s="129">
        <f>Data1!O27</f>
        <v>62.5</v>
      </c>
      <c r="F21" s="357" t="str">
        <f>IF(E21="","",IF(E21&lt;Data1!$E$11,"Belum Tuntas","Tuntas"))</f>
        <v>Belum Tuntas</v>
      </c>
      <c r="G21" s="358"/>
      <c r="H21" s="358"/>
      <c r="I21" s="358"/>
      <c r="J21" s="358"/>
      <c r="K21" s="359"/>
      <c r="L21" s="70"/>
    </row>
    <row r="22" spans="2:12" s="21" customFormat="1" ht="9.9499999999999993" customHeight="1">
      <c r="B22" s="124">
        <v>5</v>
      </c>
      <c r="C22" s="213" t="str">
        <f>IF(Data1!C28="","",""&amp;Data1!C28)</f>
        <v>DESY REGITA SARI</v>
      </c>
      <c r="D22" s="128">
        <f>Data1!N28</f>
        <v>15</v>
      </c>
      <c r="E22" s="129">
        <f>Data1!O28</f>
        <v>37.5</v>
      </c>
      <c r="F22" s="357" t="str">
        <f>IF(E22="","",IF(E22&lt;Data1!$E$11,"Belum Tuntas","Tuntas"))</f>
        <v>Belum Tuntas</v>
      </c>
      <c r="G22" s="358"/>
      <c r="H22" s="358"/>
      <c r="I22" s="358"/>
      <c r="J22" s="358"/>
      <c r="K22" s="359"/>
      <c r="L22" s="70"/>
    </row>
    <row r="23" spans="2:12" s="21" customFormat="1" ht="9.9499999999999993" customHeight="1">
      <c r="B23" s="124">
        <v>6</v>
      </c>
      <c r="C23" s="213" t="str">
        <f>IF(Data1!C29="","",""&amp;Data1!C29)</f>
        <v>EFA RIANA</v>
      </c>
      <c r="D23" s="128">
        <f>Data1!N29</f>
        <v>15</v>
      </c>
      <c r="E23" s="129">
        <f>Data1!O29</f>
        <v>37.5</v>
      </c>
      <c r="F23" s="357" t="str">
        <f>IF(E23="","",IF(E23&lt;Data1!$E$11,"Belum Tuntas","Tuntas"))</f>
        <v>Belum Tuntas</v>
      </c>
      <c r="G23" s="358"/>
      <c r="H23" s="358"/>
      <c r="I23" s="358"/>
      <c r="J23" s="358"/>
      <c r="K23" s="359"/>
      <c r="L23" s="70"/>
    </row>
    <row r="24" spans="2:12" s="21" customFormat="1" ht="9.9499999999999993" customHeight="1">
      <c r="B24" s="124">
        <v>7</v>
      </c>
      <c r="C24" s="213" t="str">
        <f>IF(Data1!C30="","",""&amp;Data1!C30)</f>
        <v>EKA FITRIANI</v>
      </c>
      <c r="D24" s="128" t="str">
        <f>Data1!N30</f>
        <v/>
      </c>
      <c r="E24" s="129" t="str">
        <f>Data1!O30</f>
        <v/>
      </c>
      <c r="F24" s="357" t="str">
        <f>IF(E24="","",IF(E24&lt;Data1!$E$11,"Belum Tuntas","Tuntas"))</f>
        <v/>
      </c>
      <c r="G24" s="358"/>
      <c r="H24" s="358"/>
      <c r="I24" s="358"/>
      <c r="J24" s="358"/>
      <c r="K24" s="359"/>
      <c r="L24" s="70"/>
    </row>
    <row r="25" spans="2:12" s="21" customFormat="1" ht="9.9499999999999993" customHeight="1">
      <c r="B25" s="124">
        <v>8</v>
      </c>
      <c r="C25" s="213" t="str">
        <f>IF(Data1!C31="","",""&amp;Data1!C31)</f>
        <v>ENDAH SRI TORADA</v>
      </c>
      <c r="D25" s="128" t="str">
        <f>Data1!N31</f>
        <v/>
      </c>
      <c r="E25" s="129" t="str">
        <f>Data1!O31</f>
        <v/>
      </c>
      <c r="F25" s="357" t="str">
        <f>IF(E25="","",IF(E25&lt;Data1!$E$11,"Belum Tuntas","Tuntas"))</f>
        <v/>
      </c>
      <c r="G25" s="358"/>
      <c r="H25" s="358"/>
      <c r="I25" s="358"/>
      <c r="J25" s="358"/>
      <c r="K25" s="359"/>
      <c r="L25" s="70"/>
    </row>
    <row r="26" spans="2:12" s="21" customFormat="1" ht="9.9499999999999993" customHeight="1">
      <c r="B26" s="124">
        <v>9</v>
      </c>
      <c r="C26" s="213" t="str">
        <f>IF(Data1!C32="","",""&amp;Data1!C32)</f>
        <v>FARADILLA RAHMAN</v>
      </c>
      <c r="D26" s="128">
        <f>Data1!N32</f>
        <v>5</v>
      </c>
      <c r="E26" s="129">
        <f>Data1!O32</f>
        <v>12.5</v>
      </c>
      <c r="F26" s="357" t="str">
        <f>IF(E26="","",IF(E26&lt;Data1!$E$11,"Belum Tuntas","Tuntas"))</f>
        <v>Belum Tuntas</v>
      </c>
      <c r="G26" s="358"/>
      <c r="H26" s="358"/>
      <c r="I26" s="358"/>
      <c r="J26" s="358"/>
      <c r="K26" s="359"/>
      <c r="L26" s="70"/>
    </row>
    <row r="27" spans="2:12" s="21" customFormat="1" ht="9.9499999999999993" customHeight="1">
      <c r="B27" s="124">
        <v>10</v>
      </c>
      <c r="C27" s="213" t="str">
        <f>IF(Data1!C33="","",""&amp;Data1!C33)</f>
        <v>FEBRIYANTI</v>
      </c>
      <c r="D27" s="128">
        <f>Data1!N33</f>
        <v>25</v>
      </c>
      <c r="E27" s="129">
        <f>Data1!O33</f>
        <v>62.5</v>
      </c>
      <c r="F27" s="357" t="str">
        <f>IF(E27="","",IF(E27&lt;Data1!$E$11,"Belum Tuntas","Tuntas"))</f>
        <v>Belum Tuntas</v>
      </c>
      <c r="G27" s="358"/>
      <c r="H27" s="358"/>
      <c r="I27" s="358"/>
      <c r="J27" s="358"/>
      <c r="K27" s="359"/>
      <c r="L27" s="70"/>
    </row>
    <row r="28" spans="2:12" s="21" customFormat="1" ht="9.9499999999999993" customHeight="1">
      <c r="B28" s="124">
        <v>11</v>
      </c>
      <c r="C28" s="213" t="str">
        <f>IF(Data1!C34="","",""&amp;Data1!C34)</f>
        <v>FITRIANI</v>
      </c>
      <c r="D28" s="128">
        <f>Data1!N34</f>
        <v>35</v>
      </c>
      <c r="E28" s="129">
        <f>Data1!O34</f>
        <v>87.5</v>
      </c>
      <c r="F28" s="357" t="str">
        <f>IF(E28="","",IF(E28&lt;Data1!$E$11,"Belum Tuntas","Tuntas"))</f>
        <v>Tuntas</v>
      </c>
      <c r="G28" s="358"/>
      <c r="H28" s="358"/>
      <c r="I28" s="358"/>
      <c r="J28" s="358"/>
      <c r="K28" s="359"/>
      <c r="L28" s="70"/>
    </row>
    <row r="29" spans="2:12" s="21" customFormat="1" ht="9.9499999999999993" customHeight="1">
      <c r="B29" s="124">
        <v>12</v>
      </c>
      <c r="C29" s="213" t="str">
        <f>IF(Data1!C35="","",""&amp;Data1!C35)</f>
        <v>HAFIZHAH</v>
      </c>
      <c r="D29" s="128">
        <f>Data1!N35</f>
        <v>15</v>
      </c>
      <c r="E29" s="129">
        <f>Data1!O35</f>
        <v>37.5</v>
      </c>
      <c r="F29" s="357" t="str">
        <f>IF(E29="","",IF(E29&lt;Data1!$E$11,"Belum Tuntas","Tuntas"))</f>
        <v>Belum Tuntas</v>
      </c>
      <c r="G29" s="358"/>
      <c r="H29" s="358"/>
      <c r="I29" s="358"/>
      <c r="J29" s="358"/>
      <c r="K29" s="359"/>
      <c r="L29" s="70"/>
    </row>
    <row r="30" spans="2:12" s="21" customFormat="1" ht="9.9499999999999993" customHeight="1">
      <c r="B30" s="124">
        <v>13</v>
      </c>
      <c r="C30" s="213" t="str">
        <f>IF(Data1!C36="","",""&amp;Data1!C36)</f>
        <v>KATRIN ALMEISA</v>
      </c>
      <c r="D30" s="128">
        <f>Data1!N36</f>
        <v>5</v>
      </c>
      <c r="E30" s="129">
        <f>Data1!O36</f>
        <v>12.5</v>
      </c>
      <c r="F30" s="357" t="str">
        <f>IF(E30="","",IF(E30&lt;Data1!$E$11,"Belum Tuntas","Tuntas"))</f>
        <v>Belum Tuntas</v>
      </c>
      <c r="G30" s="358"/>
      <c r="H30" s="358"/>
      <c r="I30" s="358"/>
      <c r="J30" s="358"/>
      <c r="K30" s="359"/>
      <c r="L30" s="70"/>
    </row>
    <row r="31" spans="2:12" s="21" customFormat="1" ht="9.9499999999999993" customHeight="1">
      <c r="B31" s="124">
        <v>14</v>
      </c>
      <c r="C31" s="213" t="str">
        <f>IF(Data1!C37="","",""&amp;Data1!C37)</f>
        <v>KHAVIFA DEWI AYU AMALIAH ACHMAD</v>
      </c>
      <c r="D31" s="128">
        <f>Data1!N37</f>
        <v>10</v>
      </c>
      <c r="E31" s="129">
        <f>Data1!O37</f>
        <v>25</v>
      </c>
      <c r="F31" s="357" t="str">
        <f>IF(E31="","",IF(E31&lt;Data1!$E$11,"Belum Tuntas","Tuntas"))</f>
        <v>Belum Tuntas</v>
      </c>
      <c r="G31" s="358"/>
      <c r="H31" s="358"/>
      <c r="I31" s="358"/>
      <c r="J31" s="358"/>
      <c r="K31" s="359"/>
      <c r="L31" s="70"/>
    </row>
    <row r="32" spans="2:12" s="21" customFormat="1" ht="9.9499999999999993" customHeight="1">
      <c r="B32" s="124">
        <v>15</v>
      </c>
      <c r="C32" s="213" t="str">
        <f>IF(Data1!C38="","",""&amp;Data1!C38)</f>
        <v>LA ODE MUHAMMAD AFANDI</v>
      </c>
      <c r="D32" s="128" t="str">
        <f>Data1!N38</f>
        <v/>
      </c>
      <c r="E32" s="129" t="str">
        <f>Data1!O38</f>
        <v/>
      </c>
      <c r="F32" s="357" t="str">
        <f>IF(E32="","",IF(E32&lt;Data1!$E$11,"Belum Tuntas","Tuntas"))</f>
        <v/>
      </c>
      <c r="G32" s="358"/>
      <c r="H32" s="358"/>
      <c r="I32" s="358"/>
      <c r="J32" s="358"/>
      <c r="K32" s="359"/>
      <c r="L32" s="70"/>
    </row>
    <row r="33" spans="2:12" s="21" customFormat="1" ht="9.9499999999999993" customHeight="1">
      <c r="B33" s="124">
        <v>16</v>
      </c>
      <c r="C33" s="213" t="str">
        <f>IF(Data1!C39="","",""&amp;Data1!C39)</f>
        <v>MASYRUQ AL JAZZULI</v>
      </c>
      <c r="D33" s="128">
        <f>Data1!N39</f>
        <v>15</v>
      </c>
      <c r="E33" s="129">
        <f>Data1!O39</f>
        <v>37.5</v>
      </c>
      <c r="F33" s="357" t="str">
        <f>IF(E33="","",IF(E33&lt;Data1!$E$11,"Belum Tuntas","Tuntas"))</f>
        <v>Belum Tuntas</v>
      </c>
      <c r="G33" s="358"/>
      <c r="H33" s="358"/>
      <c r="I33" s="358"/>
      <c r="J33" s="358"/>
      <c r="K33" s="359"/>
      <c r="L33" s="70"/>
    </row>
    <row r="34" spans="2:12" s="21" customFormat="1" ht="9.9499999999999993" customHeight="1">
      <c r="B34" s="124">
        <v>17</v>
      </c>
      <c r="C34" s="213" t="str">
        <f>IF(Data1!C40="","",""&amp;Data1!C40)</f>
        <v>MAULIDATUL KHOIUN NI'MAH</v>
      </c>
      <c r="D34" s="128">
        <f>Data1!N40</f>
        <v>15</v>
      </c>
      <c r="E34" s="129">
        <f>Data1!O40</f>
        <v>37.5</v>
      </c>
      <c r="F34" s="357" t="str">
        <f>IF(E34="","",IF(E34&lt;Data1!$E$11,"Belum Tuntas","Tuntas"))</f>
        <v>Belum Tuntas</v>
      </c>
      <c r="G34" s="358"/>
      <c r="H34" s="358"/>
      <c r="I34" s="358"/>
      <c r="J34" s="358"/>
      <c r="K34" s="359"/>
      <c r="L34" s="70"/>
    </row>
    <row r="35" spans="2:12" s="21" customFormat="1" ht="9.9499999999999993" customHeight="1">
      <c r="B35" s="124">
        <v>18</v>
      </c>
      <c r="C35" s="213" t="str">
        <f>IF(Data1!C41="","",""&amp;Data1!C41)</f>
        <v>MUH. FAJRY MUHARRAM</v>
      </c>
      <c r="D35" s="128">
        <f>Data1!N41</f>
        <v>10</v>
      </c>
      <c r="E35" s="129">
        <f>Data1!O41</f>
        <v>25</v>
      </c>
      <c r="F35" s="357" t="str">
        <f>IF(E35="","",IF(E35&lt;Data1!$E$11,"Belum Tuntas","Tuntas"))</f>
        <v>Belum Tuntas</v>
      </c>
      <c r="G35" s="358"/>
      <c r="H35" s="358"/>
      <c r="I35" s="358"/>
      <c r="J35" s="358"/>
      <c r="K35" s="359"/>
      <c r="L35" s="70"/>
    </row>
    <row r="36" spans="2:12" s="21" customFormat="1" ht="9.9499999999999993" customHeight="1">
      <c r="B36" s="124">
        <v>19</v>
      </c>
      <c r="C36" s="213" t="str">
        <f>IF(Data1!C42="","",""&amp;Data1!C42)</f>
        <v>MUHAMMAD ALFIAN BAKTI S.</v>
      </c>
      <c r="D36" s="128">
        <f>Data1!N42</f>
        <v>35</v>
      </c>
      <c r="E36" s="129">
        <f>Data1!O42</f>
        <v>87.5</v>
      </c>
      <c r="F36" s="357" t="str">
        <f>IF(E36="","",IF(E36&lt;Data1!$E$11,"Belum Tuntas","Tuntas"))</f>
        <v>Tuntas</v>
      </c>
      <c r="G36" s="358"/>
      <c r="H36" s="358"/>
      <c r="I36" s="358"/>
      <c r="J36" s="358"/>
      <c r="K36" s="359"/>
      <c r="L36" s="70"/>
    </row>
    <row r="37" spans="2:12" s="21" customFormat="1" ht="9.9499999999999993" customHeight="1">
      <c r="B37" s="124">
        <v>20</v>
      </c>
      <c r="C37" s="213" t="str">
        <f>IF(Data1!C43="","",""&amp;Data1!C43)</f>
        <v>MUHAMMAD ARIANSYAH</v>
      </c>
      <c r="D37" s="128">
        <f>Data1!N43</f>
        <v>15</v>
      </c>
      <c r="E37" s="129">
        <f>Data1!O43</f>
        <v>37.5</v>
      </c>
      <c r="F37" s="357" t="str">
        <f>IF(E37="","",IF(E37&lt;Data1!$E$11,"Belum Tuntas","Tuntas"))</f>
        <v>Belum Tuntas</v>
      </c>
      <c r="G37" s="358"/>
      <c r="H37" s="358"/>
      <c r="I37" s="358"/>
      <c r="J37" s="358"/>
      <c r="K37" s="359"/>
      <c r="L37" s="70"/>
    </row>
    <row r="38" spans="2:12" s="21" customFormat="1" ht="9.9499999999999993" customHeight="1">
      <c r="B38" s="124">
        <v>21</v>
      </c>
      <c r="C38" s="213" t="str">
        <f>IF(Data1!C44="","",""&amp;Data1!C44)</f>
        <v>MUHAMMAD HAFIZH H.A</v>
      </c>
      <c r="D38" s="128">
        <f>Data1!N44</f>
        <v>35</v>
      </c>
      <c r="E38" s="129">
        <f>Data1!O44</f>
        <v>87.5</v>
      </c>
      <c r="F38" s="357" t="str">
        <f>IF(E38="","",IF(E38&lt;Data1!$E$11,"Belum Tuntas","Tuntas"))</f>
        <v>Tuntas</v>
      </c>
      <c r="G38" s="358"/>
      <c r="H38" s="358"/>
      <c r="I38" s="358"/>
      <c r="J38" s="358"/>
      <c r="K38" s="359"/>
      <c r="L38" s="70"/>
    </row>
    <row r="39" spans="2:12" s="21" customFormat="1" ht="9.9499999999999993" customHeight="1">
      <c r="B39" s="124">
        <v>22</v>
      </c>
      <c r="C39" s="213" t="str">
        <f>IF(Data1!C45="","",""&amp;Data1!C45)</f>
        <v>MUHAMMAD ILHAMSYAH</v>
      </c>
      <c r="D39" s="128">
        <f>Data1!N45</f>
        <v>30</v>
      </c>
      <c r="E39" s="129">
        <f>Data1!O45</f>
        <v>75</v>
      </c>
      <c r="F39" s="357" t="str">
        <f>IF(E39="","",IF(E39&lt;Data1!$E$11,"Belum Tuntas","Tuntas"))</f>
        <v>Tuntas</v>
      </c>
      <c r="G39" s="358"/>
      <c r="H39" s="358"/>
      <c r="I39" s="358"/>
      <c r="J39" s="358"/>
      <c r="K39" s="359"/>
      <c r="L39" s="70"/>
    </row>
    <row r="40" spans="2:12" s="21" customFormat="1" ht="9.9499999999999993" customHeight="1">
      <c r="B40" s="124">
        <v>23</v>
      </c>
      <c r="C40" s="213" t="str">
        <f>IF(Data1!C46="","",""&amp;Data1!C46)</f>
        <v>MUHAMMAD REZA FAHLEVI</v>
      </c>
      <c r="D40" s="128">
        <f>Data1!N46</f>
        <v>35</v>
      </c>
      <c r="E40" s="129">
        <f>Data1!O46</f>
        <v>87.5</v>
      </c>
      <c r="F40" s="357" t="str">
        <f>IF(E40="","",IF(E40&lt;Data1!$E$11,"Belum Tuntas","Tuntas"))</f>
        <v>Tuntas</v>
      </c>
      <c r="G40" s="358"/>
      <c r="H40" s="358"/>
      <c r="I40" s="358"/>
      <c r="J40" s="358"/>
      <c r="K40" s="359"/>
      <c r="L40" s="70"/>
    </row>
    <row r="41" spans="2:12" s="21" customFormat="1" ht="9.9499999999999993" customHeight="1">
      <c r="B41" s="124">
        <v>24</v>
      </c>
      <c r="C41" s="213" t="str">
        <f>IF(Data1!C47="","",""&amp;Data1!C47)</f>
        <v>MUHAMMAD SYAHRIL RAMADHAN</v>
      </c>
      <c r="D41" s="128">
        <f>Data1!N47</f>
        <v>10</v>
      </c>
      <c r="E41" s="129">
        <f>Data1!O47</f>
        <v>25</v>
      </c>
      <c r="F41" s="357" t="str">
        <f>IF(E41="","",IF(E41&lt;Data1!$E$11,"Belum Tuntas","Tuntas"))</f>
        <v>Belum Tuntas</v>
      </c>
      <c r="G41" s="358"/>
      <c r="H41" s="358"/>
      <c r="I41" s="358"/>
      <c r="J41" s="358"/>
      <c r="K41" s="359"/>
      <c r="L41" s="70"/>
    </row>
    <row r="42" spans="2:12" s="21" customFormat="1" ht="9.9499999999999993" customHeight="1">
      <c r="B42" s="124">
        <v>25</v>
      </c>
      <c r="C42" s="213" t="str">
        <f>IF(Data1!C48="","",""&amp;Data1!C48)</f>
        <v>MUHAMMAD SYAHRUL RAMADHAN</v>
      </c>
      <c r="D42" s="128" t="str">
        <f>Data1!N48</f>
        <v/>
      </c>
      <c r="E42" s="129" t="str">
        <f>Data1!O48</f>
        <v/>
      </c>
      <c r="F42" s="357" t="str">
        <f>IF(E42="","",IF(E42&lt;Data1!$E$11,"Belum Tuntas","Tuntas"))</f>
        <v/>
      </c>
      <c r="G42" s="358"/>
      <c r="H42" s="358"/>
      <c r="I42" s="358"/>
      <c r="J42" s="358"/>
      <c r="K42" s="359"/>
      <c r="L42" s="70"/>
    </row>
    <row r="43" spans="2:12" s="21" customFormat="1" ht="9.9499999999999993" customHeight="1">
      <c r="B43" s="124">
        <v>26</v>
      </c>
      <c r="C43" s="213" t="str">
        <f>IF(Data1!C49="","",""&amp;Data1!C49)</f>
        <v>NUR HAZIRAH</v>
      </c>
      <c r="D43" s="128" t="str">
        <f>Data1!N49</f>
        <v/>
      </c>
      <c r="E43" s="129" t="str">
        <f>Data1!O49</f>
        <v/>
      </c>
      <c r="F43" s="357" t="str">
        <f>IF(E43="","",IF(E43&lt;Data1!$E$11,"Belum Tuntas","Tuntas"))</f>
        <v/>
      </c>
      <c r="G43" s="358"/>
      <c r="H43" s="358"/>
      <c r="I43" s="358"/>
      <c r="J43" s="358"/>
      <c r="K43" s="359"/>
      <c r="L43" s="70"/>
    </row>
    <row r="44" spans="2:12" s="21" customFormat="1" ht="9.9499999999999993" customHeight="1">
      <c r="B44" s="124">
        <v>27</v>
      </c>
      <c r="C44" s="213" t="str">
        <f>IF(Data1!C50="","",""&amp;Data1!C50)</f>
        <v>NURFADILAH</v>
      </c>
      <c r="D44" s="128">
        <f>Data1!N50</f>
        <v>10</v>
      </c>
      <c r="E44" s="129">
        <f>Data1!O50</f>
        <v>25</v>
      </c>
      <c r="F44" s="357" t="str">
        <f>IF(E44="","",IF(E44&lt;Data1!$E$11,"Belum Tuntas","Tuntas"))</f>
        <v>Belum Tuntas</v>
      </c>
      <c r="G44" s="358"/>
      <c r="H44" s="358"/>
      <c r="I44" s="358"/>
      <c r="J44" s="358"/>
      <c r="K44" s="359"/>
      <c r="L44" s="70"/>
    </row>
    <row r="45" spans="2:12" s="21" customFormat="1" ht="9.9499999999999993" customHeight="1">
      <c r="B45" s="124">
        <v>28</v>
      </c>
      <c r="C45" s="213" t="str">
        <f>IF(Data1!C51="","",""&amp;Data1!C51)</f>
        <v>RATI YANI</v>
      </c>
      <c r="D45" s="128" t="str">
        <f>Data1!N51</f>
        <v/>
      </c>
      <c r="E45" s="129" t="str">
        <f>Data1!O51</f>
        <v/>
      </c>
      <c r="F45" s="357" t="str">
        <f>IF(E45="","",IF(E45&lt;Data1!$E$11,"Belum Tuntas","Tuntas"))</f>
        <v/>
      </c>
      <c r="G45" s="358"/>
      <c r="H45" s="358"/>
      <c r="I45" s="358"/>
      <c r="J45" s="358"/>
      <c r="K45" s="359"/>
      <c r="L45" s="70"/>
    </row>
    <row r="46" spans="2:12" s="21" customFormat="1" ht="9.9499999999999993" customHeight="1">
      <c r="B46" s="124">
        <v>29</v>
      </c>
      <c r="C46" s="213" t="str">
        <f>IF(Data1!C52="","",""&amp;Data1!C52)</f>
        <v>SIGIT ARI DJAYADI</v>
      </c>
      <c r="D46" s="128">
        <f>Data1!N52</f>
        <v>5</v>
      </c>
      <c r="E46" s="129">
        <f>Data1!O52</f>
        <v>12.5</v>
      </c>
      <c r="F46" s="357" t="str">
        <f>IF(E46="","",IF(E46&lt;Data1!$E$11,"Belum Tuntas","Tuntas"))</f>
        <v>Belum Tuntas</v>
      </c>
      <c r="G46" s="358"/>
      <c r="H46" s="358"/>
      <c r="I46" s="358"/>
      <c r="J46" s="358"/>
      <c r="K46" s="359"/>
      <c r="L46" s="70"/>
    </row>
    <row r="47" spans="2:12" s="21" customFormat="1" ht="9.9499999999999993" customHeight="1">
      <c r="B47" s="124">
        <v>30</v>
      </c>
      <c r="C47" s="213" t="str">
        <f>IF(Data1!C53="","",""&amp;Data1!C53)</f>
        <v>SUKMA JULIA RAUF</v>
      </c>
      <c r="D47" s="128">
        <f>Data1!N53</f>
        <v>10</v>
      </c>
      <c r="E47" s="129">
        <f>Data1!O53</f>
        <v>25</v>
      </c>
      <c r="F47" s="357" t="str">
        <f>IF(E47="","",IF(E47&lt;Data1!$E$11,"Belum Tuntas","Tuntas"))</f>
        <v>Belum Tuntas</v>
      </c>
      <c r="G47" s="358"/>
      <c r="H47" s="358"/>
      <c r="I47" s="358"/>
      <c r="J47" s="358"/>
      <c r="K47" s="359"/>
      <c r="L47" s="70"/>
    </row>
    <row r="48" spans="2:12" s="21" customFormat="1" ht="9.9499999999999993" customHeight="1">
      <c r="B48" s="124">
        <v>31</v>
      </c>
      <c r="C48" s="213" t="str">
        <f>IF(Data1!C54="","",""&amp;Data1!C54)</f>
        <v>SUPARDI</v>
      </c>
      <c r="D48" s="128">
        <f>Data1!N54</f>
        <v>25</v>
      </c>
      <c r="E48" s="129">
        <f>Data1!O54</f>
        <v>62.5</v>
      </c>
      <c r="F48" s="357" t="str">
        <f>IF(E48="","",IF(E48&lt;Data1!$E$11,"Belum Tuntas","Tuntas"))</f>
        <v>Belum Tuntas</v>
      </c>
      <c r="G48" s="358"/>
      <c r="H48" s="358"/>
      <c r="I48" s="358"/>
      <c r="J48" s="358"/>
      <c r="K48" s="359"/>
      <c r="L48" s="70"/>
    </row>
    <row r="49" spans="2:12" s="21" customFormat="1" ht="9.9499999999999993" customHeight="1">
      <c r="B49" s="124">
        <v>32</v>
      </c>
      <c r="C49" s="213" t="str">
        <f>IF(Data1!C55="","",""&amp;Data1!C55)</f>
        <v>TINA ERLIAN</v>
      </c>
      <c r="D49" s="128">
        <f>Data1!N55</f>
        <v>15</v>
      </c>
      <c r="E49" s="129">
        <f>Data1!O55</f>
        <v>37.5</v>
      </c>
      <c r="F49" s="357" t="str">
        <f>IF(E49="","",IF(E49&lt;Data1!$E$11,"Belum Tuntas","Tuntas"))</f>
        <v>Belum Tuntas</v>
      </c>
      <c r="G49" s="358"/>
      <c r="H49" s="358"/>
      <c r="I49" s="358"/>
      <c r="J49" s="358"/>
      <c r="K49" s="359"/>
      <c r="L49" s="70"/>
    </row>
    <row r="50" spans="2:12" s="21" customFormat="1" ht="9.9499999999999993" customHeight="1">
      <c r="B50" s="124">
        <v>33</v>
      </c>
      <c r="C50" s="213" t="str">
        <f>IF(Data1!C56="","",""&amp;Data1!C56)</f>
        <v>WHIRANATHA</v>
      </c>
      <c r="D50" s="128">
        <f>Data1!N56</f>
        <v>15</v>
      </c>
      <c r="E50" s="129">
        <f>Data1!O56</f>
        <v>37.5</v>
      </c>
      <c r="F50" s="357" t="str">
        <f>IF(E50="","",IF(E50&lt;Data1!$E$11,"Belum Tuntas","Tuntas"))</f>
        <v>Belum Tuntas</v>
      </c>
      <c r="G50" s="358"/>
      <c r="H50" s="358"/>
      <c r="I50" s="358"/>
      <c r="J50" s="358"/>
      <c r="K50" s="359"/>
      <c r="L50" s="70"/>
    </row>
    <row r="51" spans="2:12" s="21" customFormat="1" ht="9.9499999999999993" customHeight="1">
      <c r="B51" s="124">
        <v>34</v>
      </c>
      <c r="C51" s="213" t="str">
        <f>IF(Data1!C57="","",""&amp;Data1!C57)</f>
        <v>WINDA BIRING ALLO</v>
      </c>
      <c r="D51" s="128">
        <f>Data1!N57</f>
        <v>5</v>
      </c>
      <c r="E51" s="129">
        <f>Data1!O57</f>
        <v>12.5</v>
      </c>
      <c r="F51" s="357" t="str">
        <f>IF(E51="","",IF(E51&lt;Data1!$E$11,"Belum Tuntas","Tuntas"))</f>
        <v>Belum Tuntas</v>
      </c>
      <c r="G51" s="358"/>
      <c r="H51" s="358"/>
      <c r="I51" s="358"/>
      <c r="J51" s="358"/>
      <c r="K51" s="359"/>
      <c r="L51" s="70"/>
    </row>
    <row r="52" spans="2:12" s="21" customFormat="1" ht="9.9499999999999993" customHeight="1">
      <c r="B52" s="124">
        <v>35</v>
      </c>
      <c r="C52" s="213" t="str">
        <f>IF(Data1!C58="","",""&amp;Data1!C58)</f>
        <v>YUSUF SALAM</v>
      </c>
      <c r="D52" s="128">
        <f>Data1!N58</f>
        <v>10</v>
      </c>
      <c r="E52" s="129">
        <f>Data1!O58</f>
        <v>25</v>
      </c>
      <c r="F52" s="357" t="str">
        <f>IF(E52="","",IF(E52&lt;Data1!$E$11,"Belum Tuntas","Tuntas"))</f>
        <v>Belum Tuntas</v>
      </c>
      <c r="G52" s="358"/>
      <c r="H52" s="358"/>
      <c r="I52" s="358"/>
      <c r="J52" s="358"/>
      <c r="K52" s="359"/>
      <c r="L52" s="70"/>
    </row>
    <row r="53" spans="2:12" s="21" customFormat="1" ht="9.9499999999999993" customHeight="1">
      <c r="B53" s="124">
        <v>36</v>
      </c>
      <c r="C53" s="213" t="str">
        <f>IF(Data1!C59="","",""&amp;Data1!C59)</f>
        <v/>
      </c>
      <c r="D53" s="128" t="str">
        <f>Data1!N59</f>
        <v/>
      </c>
      <c r="E53" s="129" t="str">
        <f>Data1!O59</f>
        <v/>
      </c>
      <c r="F53" s="357" t="str">
        <f>IF(E53="","",IF(E53&lt;Data1!$E$11,"Belum Tuntas","Tuntas"))</f>
        <v/>
      </c>
      <c r="G53" s="358"/>
      <c r="H53" s="358"/>
      <c r="I53" s="358"/>
      <c r="J53" s="358"/>
      <c r="K53" s="359"/>
      <c r="L53" s="70"/>
    </row>
    <row r="54" spans="2:12" s="21" customFormat="1" ht="9.9499999999999993" customHeight="1">
      <c r="B54" s="124">
        <v>37</v>
      </c>
      <c r="C54" s="213" t="str">
        <f>IF(Data1!C60="","",""&amp;Data1!C60)</f>
        <v/>
      </c>
      <c r="D54" s="128" t="str">
        <f>Data1!N60</f>
        <v/>
      </c>
      <c r="E54" s="129" t="str">
        <f>Data1!O60</f>
        <v/>
      </c>
      <c r="F54" s="357" t="str">
        <f>IF(E54="","",IF(E54&lt;Data1!$E$11,"Belum Tuntas","Tuntas"))</f>
        <v/>
      </c>
      <c r="G54" s="358"/>
      <c r="H54" s="358"/>
      <c r="I54" s="358"/>
      <c r="J54" s="358"/>
      <c r="K54" s="359"/>
      <c r="L54" s="70"/>
    </row>
    <row r="55" spans="2:12" s="21" customFormat="1" ht="9.9499999999999993" customHeight="1">
      <c r="B55" s="124">
        <v>38</v>
      </c>
      <c r="C55" s="213" t="str">
        <f>IF(Data1!C63="","",""&amp;Data1!C63)</f>
        <v/>
      </c>
      <c r="D55" s="128">
        <f>Data1!N63</f>
        <v>0</v>
      </c>
      <c r="E55" s="129">
        <f>Data1!O63</f>
        <v>0</v>
      </c>
      <c r="F55" s="357" t="str">
        <f>IF(E55="","",IF(E55&lt;Data1!$E$11,"Belum Tuntas","Tuntas"))</f>
        <v>Belum Tuntas</v>
      </c>
      <c r="G55" s="358"/>
      <c r="H55" s="358"/>
      <c r="I55" s="358"/>
      <c r="J55" s="358"/>
      <c r="K55" s="359"/>
      <c r="L55" s="70"/>
    </row>
    <row r="56" spans="2:12" s="21" customFormat="1" ht="9.9499999999999993" customHeight="1">
      <c r="B56" s="124">
        <v>39</v>
      </c>
      <c r="C56" s="213" t="str">
        <f>IF(Data1!C64="","",""&amp;Data1!C64)</f>
        <v/>
      </c>
      <c r="D56" s="128">
        <f>Data1!N64</f>
        <v>0</v>
      </c>
      <c r="E56" s="129">
        <f>Data1!O64</f>
        <v>0</v>
      </c>
      <c r="F56" s="357" t="str">
        <f>IF(E56="","",IF(E56&lt;Data1!$E$11,"Belum Tuntas","Tuntas"))</f>
        <v>Belum Tuntas</v>
      </c>
      <c r="G56" s="358"/>
      <c r="H56" s="358"/>
      <c r="I56" s="358"/>
      <c r="J56" s="358"/>
      <c r="K56" s="359"/>
      <c r="L56" s="70"/>
    </row>
    <row r="57" spans="2:12" s="21" customFormat="1" ht="9.9499999999999993" customHeight="1">
      <c r="B57" s="124">
        <v>40</v>
      </c>
      <c r="C57" s="213" t="str">
        <f>IF(Data1!C65="","",""&amp;Data1!C65)</f>
        <v/>
      </c>
      <c r="D57" s="128">
        <f>Data1!N65</f>
        <v>0</v>
      </c>
      <c r="E57" s="129">
        <f>Data1!O65</f>
        <v>0</v>
      </c>
      <c r="F57" s="357" t="str">
        <f>IF(E57="","",IF(E57&lt;Data1!$E$11,"Belum Tuntas","Tuntas"))</f>
        <v>Belum Tuntas</v>
      </c>
      <c r="G57" s="358"/>
      <c r="H57" s="358"/>
      <c r="I57" s="358"/>
      <c r="J57" s="358"/>
      <c r="K57" s="359"/>
      <c r="L57" s="70"/>
    </row>
    <row r="58" spans="2:12" s="21" customFormat="1" ht="3.95" customHeight="1">
      <c r="B58" s="112"/>
      <c r="C58" s="214"/>
      <c r="D58" s="114"/>
      <c r="E58" s="119"/>
      <c r="F58" s="113"/>
      <c r="G58" s="113"/>
      <c r="H58" s="113"/>
      <c r="I58" s="113"/>
      <c r="J58" s="113"/>
      <c r="K58" s="115"/>
      <c r="L58" s="23"/>
    </row>
    <row r="59" spans="2:12" s="21" customFormat="1" ht="3.95" customHeight="1">
      <c r="B59" s="24"/>
      <c r="C59" s="25"/>
      <c r="D59" s="66"/>
      <c r="E59" s="120"/>
      <c r="F59" s="25"/>
      <c r="G59" s="25"/>
      <c r="H59" s="25"/>
      <c r="I59" s="25"/>
      <c r="J59" s="25"/>
      <c r="K59" s="26"/>
      <c r="L59" s="23"/>
    </row>
    <row r="60" spans="2:12" s="21" customFormat="1" ht="15" customHeight="1">
      <c r="B60" s="351" t="s">
        <v>46</v>
      </c>
      <c r="C60" s="142" t="s">
        <v>19</v>
      </c>
      <c r="D60" s="122" t="s">
        <v>13</v>
      </c>
      <c r="E60" s="145">
        <f>SUM(E18:E57)</f>
        <v>1250</v>
      </c>
      <c r="F60" s="121"/>
      <c r="G60" s="138" t="s">
        <v>38</v>
      </c>
      <c r="H60" s="122"/>
      <c r="I60" s="122" t="s">
        <v>13</v>
      </c>
      <c r="J60" s="139" t="str">
        <f>COUNT(E18:E57)&amp;""</f>
        <v>32</v>
      </c>
      <c r="K60" s="148" t="s">
        <v>41</v>
      </c>
      <c r="L60" s="23"/>
    </row>
    <row r="61" spans="2:12" s="21" customFormat="1" ht="15" customHeight="1">
      <c r="B61" s="352"/>
      <c r="C61" s="143" t="s">
        <v>20</v>
      </c>
      <c r="D61" s="23" t="s">
        <v>13</v>
      </c>
      <c r="E61" s="146">
        <f>IF(SUM(E60)=0,"",AVERAGE(E18:E57))</f>
        <v>39.0625</v>
      </c>
      <c r="F61" s="22"/>
      <c r="G61" s="71" t="s">
        <v>39</v>
      </c>
      <c r="H61" s="23"/>
      <c r="I61" s="23" t="s">
        <v>13</v>
      </c>
      <c r="J61" s="140">
        <f>COUNTIF(E18:E57, CONCATENATE("&gt;=",E11))</f>
        <v>6</v>
      </c>
      <c r="K61" s="149" t="s">
        <v>41</v>
      </c>
      <c r="L61" s="23"/>
    </row>
    <row r="62" spans="2:12" s="21" customFormat="1" ht="15" customHeight="1">
      <c r="B62" s="352"/>
      <c r="C62" s="143" t="s">
        <v>21</v>
      </c>
      <c r="D62" s="23" t="s">
        <v>13</v>
      </c>
      <c r="E62" s="146">
        <f>MAX(E18:E57)</f>
        <v>87.5</v>
      </c>
      <c r="F62" s="22"/>
      <c r="G62" s="71" t="s">
        <v>40</v>
      </c>
      <c r="H62" s="23"/>
      <c r="I62" s="23" t="s">
        <v>13</v>
      </c>
      <c r="J62" s="140">
        <f>J60-J61</f>
        <v>26</v>
      </c>
      <c r="K62" s="149" t="s">
        <v>41</v>
      </c>
      <c r="L62" s="23"/>
    </row>
    <row r="63" spans="2:12" s="21" customFormat="1" ht="15" customHeight="1">
      <c r="B63" s="352"/>
      <c r="C63" s="143" t="s">
        <v>22</v>
      </c>
      <c r="D63" s="23" t="s">
        <v>13</v>
      </c>
      <c r="E63" s="146">
        <f>MIN(E18:E57)</f>
        <v>0</v>
      </c>
      <c r="F63" s="22"/>
      <c r="G63" s="71" t="s">
        <v>43</v>
      </c>
      <c r="H63" s="23"/>
      <c r="I63" s="23" t="s">
        <v>13</v>
      </c>
      <c r="J63" s="140">
        <f>COUNTIF(E18:E57, CONCATENATE("&gt;=",E61))</f>
        <v>9</v>
      </c>
      <c r="K63" s="149" t="s">
        <v>41</v>
      </c>
      <c r="L63" s="23"/>
    </row>
    <row r="64" spans="2:12" s="21" customFormat="1" ht="15" customHeight="1">
      <c r="B64" s="353"/>
      <c r="C64" s="144" t="s">
        <v>23</v>
      </c>
      <c r="D64" s="25" t="s">
        <v>13</v>
      </c>
      <c r="E64" s="147">
        <f>IF(SUM(E60)=0,"",STDEV(E18:E57))</f>
        <v>27.633473740515178</v>
      </c>
      <c r="F64" s="24"/>
      <c r="G64" s="68" t="s">
        <v>42</v>
      </c>
      <c r="H64" s="25"/>
      <c r="I64" s="25" t="s">
        <v>13</v>
      </c>
      <c r="J64" s="141">
        <f>COUNTIF(E19:E58, CONCATENATE("&lt;",E61))</f>
        <v>22</v>
      </c>
      <c r="K64" s="150" t="s">
        <v>41</v>
      </c>
      <c r="L64" s="23"/>
    </row>
    <row r="66" spans="2:10">
      <c r="B66" s="63"/>
      <c r="F66" s="372" t="str">
        <f>""&amp;Data1!J68</f>
        <v xml:space="preserve">Kendari , </v>
      </c>
      <c r="G66" s="372"/>
      <c r="H66" s="372"/>
      <c r="I66" s="372"/>
      <c r="J66" s="372"/>
    </row>
    <row r="67" spans="2:10">
      <c r="B67" s="63"/>
      <c r="C67" s="63" t="s">
        <v>34</v>
      </c>
      <c r="F67" s="370" t="s">
        <v>24</v>
      </c>
      <c r="G67" s="370"/>
      <c r="H67" s="370"/>
      <c r="I67" s="370"/>
      <c r="J67" s="370"/>
    </row>
    <row r="68" spans="2:10">
      <c r="B68" s="63"/>
    </row>
    <row r="71" spans="2:10">
      <c r="C71" s="152" t="str">
        <f>""&amp;Data1!C75</f>
        <v xml:space="preserve"> I D H A M, S.Pd., M.Hum</v>
      </c>
      <c r="F71" s="347" t="str">
        <f>E12</f>
        <v>Abdul Samad, S.Pd., M.Pd</v>
      </c>
      <c r="G71" s="347"/>
      <c r="H71" s="347"/>
      <c r="I71" s="347"/>
      <c r="J71" s="347"/>
    </row>
    <row r="72" spans="2:10">
      <c r="C72" s="152" t="str">
        <f>"NIP "&amp;Data1!C76</f>
        <v>NIP NIP : 196510151990031021</v>
      </c>
      <c r="F72" s="347" t="str">
        <f>"NIP "&amp;E13</f>
        <v>NIP 19720802 199702 1 001</v>
      </c>
      <c r="G72" s="347"/>
      <c r="H72" s="347"/>
      <c r="I72" s="347"/>
      <c r="J72" s="347"/>
    </row>
  </sheetData>
  <mergeCells count="60">
    <mergeCell ref="F67:J67"/>
    <mergeCell ref="E13:J13"/>
    <mergeCell ref="E4:J4"/>
    <mergeCell ref="F55:K55"/>
    <mergeCell ref="F52:K52"/>
    <mergeCell ref="F66:J66"/>
    <mergeCell ref="F50:K50"/>
    <mergeCell ref="F56:K56"/>
    <mergeCell ref="F54:K54"/>
    <mergeCell ref="F57:K57"/>
    <mergeCell ref="F46:K46"/>
    <mergeCell ref="F34:K34"/>
    <mergeCell ref="B1:K1"/>
    <mergeCell ref="F47:K47"/>
    <mergeCell ref="F48:K48"/>
    <mergeCell ref="F49:K49"/>
    <mergeCell ref="F35:K35"/>
    <mergeCell ref="F36:K36"/>
    <mergeCell ref="F37:K37"/>
    <mergeCell ref="F38:K38"/>
    <mergeCell ref="F39:K39"/>
    <mergeCell ref="F41:K41"/>
    <mergeCell ref="D15:D16"/>
    <mergeCell ref="F19:K19"/>
    <mergeCell ref="F15:K17"/>
    <mergeCell ref="F29:K29"/>
    <mergeCell ref="F42:K42"/>
    <mergeCell ref="F40:K40"/>
    <mergeCell ref="F72:J72"/>
    <mergeCell ref="F20:K20"/>
    <mergeCell ref="F21:K21"/>
    <mergeCell ref="F22:K22"/>
    <mergeCell ref="F23:K23"/>
    <mergeCell ref="F24:K24"/>
    <mergeCell ref="F25:K25"/>
    <mergeCell ref="F26:K26"/>
    <mergeCell ref="F27:K27"/>
    <mergeCell ref="F28:K28"/>
    <mergeCell ref="F33:K33"/>
    <mergeCell ref="F43:K43"/>
    <mergeCell ref="F44:K44"/>
    <mergeCell ref="F45:K45"/>
    <mergeCell ref="F51:K51"/>
    <mergeCell ref="F53:K53"/>
    <mergeCell ref="F71:J71"/>
    <mergeCell ref="B3:B13"/>
    <mergeCell ref="B60:B64"/>
    <mergeCell ref="E15:E17"/>
    <mergeCell ref="F18:K18"/>
    <mergeCell ref="B15:B17"/>
    <mergeCell ref="F30:K30"/>
    <mergeCell ref="F31:K31"/>
    <mergeCell ref="F32:K32"/>
    <mergeCell ref="E5:J5"/>
    <mergeCell ref="E6:J6"/>
    <mergeCell ref="E7:J7"/>
    <mergeCell ref="E9:J9"/>
    <mergeCell ref="E8:J8"/>
    <mergeCell ref="E10:G10"/>
    <mergeCell ref="C15:C17"/>
  </mergeCells>
  <phoneticPr fontId="0" type="noConversion"/>
  <printOptions horizontalCentered="1" verticalCentered="1"/>
  <pageMargins left="0.98425196850393704" right="0.59055118110236227" top="0.78740157480314965" bottom="0.59055118110236227" header="0.51181102362204722" footer="0.51181102362204722"/>
  <pageSetup paperSize="256" orientation="portrait" horizontalDpi="0" verticalDpi="0" r:id="rId1"/>
  <headerFooter alignWithMargins="0">
    <oddHeader>&amp;R&amp;"Comic Sans MS,Italic"&amp;8Hasil Tes, &amp;D ; &amp;T</oddHead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BBCA4-317F-48EF-84AC-5FAD0E711FC3}">
  <dimension ref="B2:F23"/>
  <sheetViews>
    <sheetView workbookViewId="0">
      <selection activeCell="G4" sqref="G4"/>
    </sheetView>
  </sheetViews>
  <sheetFormatPr defaultRowHeight="12.75"/>
  <cols>
    <col min="1" max="1" width="9.140625" style="1"/>
    <col min="2" max="2" width="4.42578125" style="1" customWidth="1"/>
    <col min="3" max="3" width="31" style="1" customWidth="1"/>
    <col min="4" max="4" width="5.5703125" style="1" customWidth="1"/>
    <col min="5" max="5" width="30.42578125" style="1" customWidth="1"/>
    <col min="6" max="16384" width="9.140625" style="1"/>
  </cols>
  <sheetData>
    <row r="2" spans="2:6" ht="18" customHeight="1">
      <c r="B2" s="422" t="s">
        <v>73</v>
      </c>
      <c r="C2" s="422"/>
      <c r="D2" s="422"/>
      <c r="E2" s="422"/>
      <c r="F2" s="422"/>
    </row>
    <row r="3" spans="2:6" ht="12.75" customHeight="1">
      <c r="B3" s="422"/>
      <c r="C3" s="422"/>
      <c r="D3" s="422"/>
      <c r="E3" s="422"/>
      <c r="F3" s="422"/>
    </row>
    <row r="4" spans="2:6">
      <c r="B4" s="441"/>
      <c r="C4" s="441"/>
      <c r="D4" s="441"/>
      <c r="E4" s="441"/>
    </row>
    <row r="5" spans="2:6" ht="15">
      <c r="B5" s="434" t="s">
        <v>15</v>
      </c>
      <c r="C5" s="435"/>
      <c r="D5" s="295" t="s">
        <v>13</v>
      </c>
      <c r="E5" s="425" t="s">
        <v>102</v>
      </c>
      <c r="F5" s="425"/>
    </row>
    <row r="6" spans="2:6" ht="15">
      <c r="B6" s="434" t="s">
        <v>16</v>
      </c>
      <c r="C6" s="435"/>
      <c r="D6" s="295" t="s">
        <v>13</v>
      </c>
      <c r="E6" s="425" t="s">
        <v>295</v>
      </c>
      <c r="F6" s="425"/>
    </row>
    <row r="7" spans="2:6" ht="15">
      <c r="B7" s="434" t="s">
        <v>288</v>
      </c>
      <c r="C7" s="435"/>
      <c r="D7" s="295" t="s">
        <v>13</v>
      </c>
      <c r="E7" s="425" t="s">
        <v>294</v>
      </c>
      <c r="F7" s="425"/>
    </row>
    <row r="8" spans="2:6" ht="15">
      <c r="B8" s="434" t="s">
        <v>289</v>
      </c>
      <c r="C8" s="435"/>
      <c r="D8" s="295" t="s">
        <v>13</v>
      </c>
      <c r="E8" s="425" t="s">
        <v>293</v>
      </c>
      <c r="F8" s="425"/>
    </row>
    <row r="9" spans="2:6" ht="15">
      <c r="B9" s="434" t="s">
        <v>290</v>
      </c>
      <c r="C9" s="435"/>
      <c r="D9" s="295" t="s">
        <v>13</v>
      </c>
      <c r="E9" s="425" t="s">
        <v>296</v>
      </c>
      <c r="F9" s="425"/>
    </row>
    <row r="10" spans="2:6" ht="15">
      <c r="B10" s="434" t="s">
        <v>291</v>
      </c>
      <c r="C10" s="435"/>
      <c r="D10" s="295" t="s">
        <v>13</v>
      </c>
      <c r="E10" s="425" t="s">
        <v>297</v>
      </c>
      <c r="F10" s="425"/>
    </row>
    <row r="11" spans="2:6" ht="15">
      <c r="B11" s="434" t="s">
        <v>292</v>
      </c>
      <c r="C11" s="435"/>
      <c r="D11" s="295" t="s">
        <v>13</v>
      </c>
      <c r="E11" s="425" t="s">
        <v>298</v>
      </c>
      <c r="F11" s="425"/>
    </row>
    <row r="12" spans="2:6" ht="15">
      <c r="B12" s="434" t="s">
        <v>18</v>
      </c>
      <c r="C12" s="435"/>
      <c r="D12" s="295" t="s">
        <v>13</v>
      </c>
      <c r="E12" s="425" t="s">
        <v>299</v>
      </c>
      <c r="F12" s="425"/>
    </row>
    <row r="13" spans="2:6">
      <c r="B13" s="424"/>
      <c r="C13" s="424"/>
      <c r="D13" s="424"/>
      <c r="E13" s="424"/>
      <c r="F13" s="424"/>
    </row>
    <row r="14" spans="2:6" ht="14.25">
      <c r="B14" s="426" t="s">
        <v>0</v>
      </c>
      <c r="C14" s="437" t="s">
        <v>1</v>
      </c>
      <c r="D14" s="427" t="s">
        <v>10</v>
      </c>
      <c r="E14" s="428" t="s">
        <v>300</v>
      </c>
      <c r="F14" s="428"/>
    </row>
    <row r="15" spans="2:6">
      <c r="B15" s="429">
        <v>1</v>
      </c>
      <c r="C15" s="439" t="s">
        <v>301</v>
      </c>
      <c r="D15" s="429">
        <v>100</v>
      </c>
      <c r="E15" s="430" t="s">
        <v>303</v>
      </c>
      <c r="F15" s="430"/>
    </row>
    <row r="16" spans="2:6">
      <c r="B16" s="423">
        <v>2</v>
      </c>
      <c r="C16" s="440" t="s">
        <v>301</v>
      </c>
      <c r="D16" s="423">
        <v>65</v>
      </c>
      <c r="E16" s="431" t="s">
        <v>302</v>
      </c>
      <c r="F16" s="431"/>
    </row>
    <row r="17" spans="2:6">
      <c r="B17" s="424"/>
      <c r="C17" s="424"/>
      <c r="D17" s="424"/>
      <c r="E17" s="424"/>
      <c r="F17" s="424"/>
    </row>
    <row r="18" spans="2:6">
      <c r="B18" s="431"/>
      <c r="C18" s="438" t="s">
        <v>8</v>
      </c>
      <c r="D18" s="432">
        <v>165</v>
      </c>
      <c r="E18" s="438" t="s">
        <v>38</v>
      </c>
      <c r="F18" s="433" t="s">
        <v>305</v>
      </c>
    </row>
    <row r="19" spans="2:6">
      <c r="B19" s="431"/>
      <c r="C19" s="438" t="s">
        <v>20</v>
      </c>
      <c r="D19" s="432" t="s">
        <v>304</v>
      </c>
      <c r="E19" s="438" t="s">
        <v>39</v>
      </c>
      <c r="F19" s="433" t="s">
        <v>306</v>
      </c>
    </row>
    <row r="20" spans="2:6">
      <c r="B20" s="431"/>
      <c r="C20" s="438" t="s">
        <v>21</v>
      </c>
      <c r="D20" s="432">
        <v>100</v>
      </c>
      <c r="E20" s="438" t="s">
        <v>40</v>
      </c>
      <c r="F20" s="433" t="s">
        <v>306</v>
      </c>
    </row>
    <row r="21" spans="2:6">
      <c r="B21" s="431"/>
      <c r="C21" s="438" t="s">
        <v>22</v>
      </c>
      <c r="D21" s="432">
        <v>65</v>
      </c>
      <c r="E21" s="438" t="s">
        <v>43</v>
      </c>
      <c r="F21" s="433" t="s">
        <v>306</v>
      </c>
    </row>
    <row r="22" spans="2:6">
      <c r="B22" s="431"/>
      <c r="C22" s="438" t="s">
        <v>23</v>
      </c>
      <c r="D22" s="432">
        <f>IF(SUM(D18)=0,"",STDEV(D15:D16))</f>
        <v>24.748737341529164</v>
      </c>
      <c r="E22" s="438" t="s">
        <v>42</v>
      </c>
      <c r="F22" s="433" t="s">
        <v>306</v>
      </c>
    </row>
    <row r="23" spans="2:6">
      <c r="D23" s="436"/>
    </row>
  </sheetData>
  <mergeCells count="23">
    <mergeCell ref="E7:F7"/>
    <mergeCell ref="E6:F6"/>
    <mergeCell ref="B13:F13"/>
    <mergeCell ref="B17:F17"/>
    <mergeCell ref="E16:F16"/>
    <mergeCell ref="E14:F14"/>
    <mergeCell ref="E12:F12"/>
    <mergeCell ref="E11:F11"/>
    <mergeCell ref="E10:F10"/>
    <mergeCell ref="E9:F9"/>
    <mergeCell ref="B10:C10"/>
    <mergeCell ref="B11:C11"/>
    <mergeCell ref="B12:C12"/>
    <mergeCell ref="B18:B22"/>
    <mergeCell ref="E15:F15"/>
    <mergeCell ref="B5:C5"/>
    <mergeCell ref="B6:C6"/>
    <mergeCell ref="B7:C7"/>
    <mergeCell ref="B8:C8"/>
    <mergeCell ref="B9:C9"/>
    <mergeCell ref="B2:F3"/>
    <mergeCell ref="E5:F5"/>
    <mergeCell ref="E8:F8"/>
  </mergeCells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46"/>
  <sheetViews>
    <sheetView zoomScale="75" workbookViewId="0">
      <selection sqref="A1:AD1"/>
    </sheetView>
  </sheetViews>
  <sheetFormatPr defaultRowHeight="15"/>
  <cols>
    <col min="1" max="1" width="9.140625" style="35"/>
    <col min="2" max="3" width="5.7109375" style="35" customWidth="1"/>
    <col min="4" max="8" width="4" style="35" customWidth="1"/>
    <col min="9" max="9" width="5.140625" style="35" customWidth="1"/>
    <col min="10" max="10" width="4" style="35" customWidth="1"/>
    <col min="11" max="11" width="5.28515625" style="35" customWidth="1"/>
    <col min="12" max="12" width="4.7109375" style="35" customWidth="1"/>
    <col min="13" max="13" width="5.7109375" style="35" customWidth="1"/>
    <col min="14" max="21" width="4.28515625" style="35" customWidth="1"/>
    <col min="22" max="30" width="3.42578125" style="35" customWidth="1"/>
    <col min="31" max="32" width="4.7109375" style="35" customWidth="1"/>
    <col min="33" max="33" width="5.140625" style="35" customWidth="1"/>
    <col min="34" max="39" width="4.7109375" style="35" customWidth="1"/>
    <col min="40" max="16384" width="9.140625" style="35"/>
  </cols>
  <sheetData>
    <row r="1" spans="1:30" ht="20.100000000000001" customHeight="1">
      <c r="A1" s="388" t="s">
        <v>74</v>
      </c>
      <c r="B1" s="388"/>
      <c r="C1" s="388"/>
      <c r="D1" s="388"/>
      <c r="E1" s="388"/>
      <c r="F1" s="388"/>
      <c r="G1" s="388"/>
      <c r="H1" s="388"/>
      <c r="I1" s="388"/>
      <c r="J1" s="388"/>
      <c r="K1" s="388"/>
      <c r="L1" s="388"/>
      <c r="M1" s="388"/>
      <c r="N1" s="388"/>
      <c r="O1" s="388"/>
      <c r="P1" s="388"/>
      <c r="Q1" s="388"/>
      <c r="R1" s="388"/>
      <c r="S1" s="388"/>
      <c r="T1" s="388"/>
      <c r="U1" s="388"/>
      <c r="V1" s="388"/>
      <c r="W1" s="388"/>
      <c r="X1" s="388"/>
      <c r="Y1" s="388"/>
      <c r="Z1" s="388"/>
      <c r="AA1" s="388"/>
      <c r="AB1" s="388"/>
      <c r="AC1" s="388"/>
      <c r="AD1" s="388"/>
    </row>
    <row r="2" spans="1:30" ht="9" customHeight="1">
      <c r="A2" s="376" t="s">
        <v>12</v>
      </c>
      <c r="B2" s="43"/>
      <c r="C2" s="43"/>
      <c r="D2" s="44"/>
      <c r="E2" s="44"/>
      <c r="F2" s="45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6"/>
    </row>
    <row r="3" spans="1:30">
      <c r="A3" s="377"/>
      <c r="B3" s="39" t="s">
        <v>15</v>
      </c>
      <c r="C3" s="40"/>
      <c r="D3" s="41"/>
      <c r="E3" s="41"/>
      <c r="F3" s="37"/>
      <c r="G3" s="41"/>
      <c r="I3" s="41" t="s">
        <v>13</v>
      </c>
      <c r="J3" s="42" t="str">
        <f>""&amp;Data1!E4</f>
        <v>SMA NEGERI 6 KENDARI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7"/>
    </row>
    <row r="4" spans="1:30">
      <c r="A4" s="377"/>
      <c r="B4" s="39" t="s">
        <v>16</v>
      </c>
      <c r="C4" s="40"/>
      <c r="D4" s="41"/>
      <c r="E4" s="41"/>
      <c r="F4" s="37"/>
      <c r="G4" s="41"/>
      <c r="I4" s="41" t="s">
        <v>13</v>
      </c>
      <c r="J4" s="42" t="str">
        <f>""&amp;Data1!E5</f>
        <v>Matematika Peminatan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182"/>
      <c r="V4" s="182"/>
      <c r="W4" s="182"/>
      <c r="X4" s="182"/>
      <c r="Y4" s="182"/>
      <c r="Z4" s="182"/>
      <c r="AA4" s="182"/>
      <c r="AB4" s="182"/>
      <c r="AC4" s="41"/>
      <c r="AD4" s="47"/>
    </row>
    <row r="5" spans="1:30">
      <c r="A5" s="377"/>
      <c r="B5" s="39" t="s">
        <v>75</v>
      </c>
      <c r="C5" s="40"/>
      <c r="D5" s="41"/>
      <c r="E5" s="41"/>
      <c r="F5" s="37"/>
      <c r="G5" s="41"/>
      <c r="I5" s="41" t="s">
        <v>13</v>
      </c>
      <c r="J5" s="42" t="str">
        <f>""&amp;Data1!E6</f>
        <v>XII MIPA 2/  SATU (GANJIL )</v>
      </c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7"/>
    </row>
    <row r="6" spans="1:30">
      <c r="A6" s="377"/>
      <c r="B6" s="39" t="s">
        <v>17</v>
      </c>
      <c r="C6" s="40"/>
      <c r="D6" s="41"/>
      <c r="E6" s="41"/>
      <c r="F6" s="37"/>
      <c r="G6" s="41"/>
      <c r="I6" s="41" t="s">
        <v>13</v>
      </c>
      <c r="J6" s="42" t="str">
        <f>""&amp;Data1!E7</f>
        <v>Penilaian Tengah Semester</v>
      </c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7"/>
    </row>
    <row r="7" spans="1:30">
      <c r="A7" s="377"/>
      <c r="B7" s="39" t="s">
        <v>52</v>
      </c>
      <c r="C7" s="40"/>
      <c r="D7" s="41"/>
      <c r="E7" s="41"/>
      <c r="F7" s="37"/>
      <c r="G7" s="41"/>
      <c r="I7" s="41" t="s">
        <v>13</v>
      </c>
      <c r="J7" s="374" t="str">
        <f>""&amp;Data1!E8</f>
        <v>Limit Fungsi</v>
      </c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  <c r="X7" s="374"/>
      <c r="Y7" s="374"/>
      <c r="Z7" s="374"/>
      <c r="AA7" s="374"/>
      <c r="AB7" s="374"/>
      <c r="AC7" s="374"/>
      <c r="AD7" s="375"/>
    </row>
    <row r="8" spans="1:30">
      <c r="A8" s="377"/>
      <c r="B8" s="39" t="s">
        <v>14</v>
      </c>
      <c r="C8" s="40"/>
      <c r="D8" s="41"/>
      <c r="E8" s="41"/>
      <c r="F8" s="37"/>
      <c r="G8" s="41"/>
      <c r="I8" s="41" t="s">
        <v>13</v>
      </c>
      <c r="J8" s="42" t="str">
        <f>""&amp;Data1!E9</f>
        <v>3.1 DAN 3.2</v>
      </c>
      <c r="K8" s="41"/>
      <c r="L8" s="41"/>
      <c r="M8" s="41"/>
      <c r="N8" s="41"/>
      <c r="O8" s="41"/>
      <c r="P8" s="41"/>
      <c r="Q8" s="41"/>
      <c r="R8" s="41"/>
      <c r="S8" s="41"/>
      <c r="T8" s="170"/>
      <c r="U8" s="41"/>
      <c r="V8" s="41"/>
      <c r="W8" s="41"/>
      <c r="X8" s="41"/>
      <c r="Y8" s="41"/>
      <c r="Z8" s="41"/>
      <c r="AA8" s="41"/>
      <c r="AB8" s="41"/>
      <c r="AC8" s="41"/>
      <c r="AD8" s="47"/>
    </row>
    <row r="9" spans="1:30">
      <c r="A9" s="377"/>
      <c r="B9" s="39" t="s">
        <v>72</v>
      </c>
      <c r="C9" s="40"/>
      <c r="D9" s="41"/>
      <c r="E9" s="41"/>
      <c r="F9" s="37"/>
      <c r="G9" s="41"/>
      <c r="I9" s="41" t="s">
        <v>13</v>
      </c>
      <c r="J9" s="380">
        <f>Data1!E10</f>
        <v>43364</v>
      </c>
      <c r="K9" s="380"/>
      <c r="L9" s="380"/>
      <c r="M9" s="380"/>
      <c r="N9" s="184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7"/>
    </row>
    <row r="10" spans="1:30">
      <c r="A10" s="377"/>
      <c r="B10" s="39" t="s">
        <v>18</v>
      </c>
      <c r="C10" s="40"/>
      <c r="D10" s="41"/>
      <c r="E10" s="41"/>
      <c r="F10" s="37"/>
      <c r="G10" s="41"/>
      <c r="I10" s="41" t="s">
        <v>13</v>
      </c>
      <c r="J10" s="42" t="str">
        <f>Data1!E12</f>
        <v>Abdul Samad, S.Pd., M.Pd</v>
      </c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7"/>
    </row>
    <row r="11" spans="1:30">
      <c r="A11" s="377"/>
      <c r="B11" s="39" t="s">
        <v>53</v>
      </c>
      <c r="C11" s="40"/>
      <c r="D11" s="41"/>
      <c r="E11" s="41"/>
      <c r="F11" s="37"/>
      <c r="G11" s="41"/>
      <c r="I11" s="41" t="s">
        <v>13</v>
      </c>
      <c r="J11" s="42" t="str">
        <f>""&amp;Data1!E13</f>
        <v>19720802 199702 1 001</v>
      </c>
      <c r="K11" s="41"/>
      <c r="L11" s="41"/>
      <c r="M11" s="41"/>
      <c r="N11" s="42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7"/>
    </row>
    <row r="12" spans="1:30" ht="9" customHeight="1">
      <c r="A12" s="378"/>
      <c r="B12" s="48"/>
      <c r="C12" s="19"/>
      <c r="D12" s="49"/>
      <c r="E12" s="49"/>
      <c r="F12" s="50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51"/>
    </row>
    <row r="13" spans="1:30" ht="9" customHeight="1"/>
    <row r="14" spans="1:30">
      <c r="A14" s="177" t="s">
        <v>80</v>
      </c>
      <c r="B14" s="38"/>
      <c r="D14" s="178" t="s">
        <v>76</v>
      </c>
      <c r="E14" s="379" t="e">
        <f>Proses!E35</f>
        <v>#DIV/0!</v>
      </c>
      <c r="F14" s="379"/>
      <c r="G14" s="379"/>
      <c r="H14" s="181" t="str">
        <f>IF(ISNUMBER(E14),VLOOKUP(E14,$A$45:$E$46,5),"")</f>
        <v/>
      </c>
    </row>
    <row r="15" spans="1:30">
      <c r="A15" s="177"/>
      <c r="B15" s="38"/>
      <c r="D15" s="178"/>
      <c r="E15" s="180"/>
      <c r="F15" s="180"/>
      <c r="G15" s="180"/>
      <c r="H15" s="179"/>
    </row>
    <row r="16" spans="1:30">
      <c r="A16" s="156" t="s">
        <v>26</v>
      </c>
      <c r="B16" s="383" t="s">
        <v>30</v>
      </c>
      <c r="C16" s="383"/>
      <c r="D16" s="383"/>
      <c r="E16" s="383"/>
      <c r="F16" s="383"/>
      <c r="G16" s="383"/>
      <c r="H16" s="383"/>
      <c r="I16" s="383"/>
      <c r="J16" s="383"/>
      <c r="K16" s="383"/>
      <c r="L16" s="383" t="s">
        <v>28</v>
      </c>
      <c r="M16" s="383"/>
      <c r="N16" s="383"/>
      <c r="O16" s="383"/>
      <c r="P16" s="383"/>
      <c r="Q16" s="383"/>
      <c r="R16" s="383"/>
      <c r="S16" s="383"/>
      <c r="T16" s="383"/>
      <c r="U16" s="383"/>
      <c r="V16" s="383" t="s">
        <v>31</v>
      </c>
      <c r="W16" s="383"/>
      <c r="X16" s="383"/>
      <c r="Y16" s="383"/>
      <c r="Z16" s="383"/>
      <c r="AA16" s="383"/>
      <c r="AB16" s="383"/>
      <c r="AC16" s="383"/>
      <c r="AD16" s="383"/>
    </row>
    <row r="17" spans="1:41">
      <c r="A17" s="157" t="s">
        <v>27</v>
      </c>
      <c r="B17" s="383" t="s">
        <v>44</v>
      </c>
      <c r="C17" s="383"/>
      <c r="D17" s="383" t="s">
        <v>29</v>
      </c>
      <c r="E17" s="383"/>
      <c r="F17" s="383"/>
      <c r="G17" s="383"/>
      <c r="H17" s="383"/>
      <c r="I17" s="383"/>
      <c r="J17" s="383"/>
      <c r="K17" s="383"/>
      <c r="L17" s="383" t="s">
        <v>44</v>
      </c>
      <c r="M17" s="383"/>
      <c r="N17" s="383" t="s">
        <v>29</v>
      </c>
      <c r="O17" s="383"/>
      <c r="P17" s="383"/>
      <c r="Q17" s="383"/>
      <c r="R17" s="383"/>
      <c r="S17" s="383"/>
      <c r="T17" s="383"/>
      <c r="U17" s="383"/>
      <c r="V17" s="383"/>
      <c r="W17" s="383"/>
      <c r="X17" s="383"/>
      <c r="Y17" s="383"/>
      <c r="Z17" s="383"/>
      <c r="AA17" s="383"/>
      <c r="AB17" s="383"/>
      <c r="AC17" s="383"/>
      <c r="AD17" s="383"/>
    </row>
    <row r="18" spans="1:41">
      <c r="A18" s="36">
        <v>1</v>
      </c>
      <c r="B18" s="382">
        <f>Proses!E31</f>
        <v>1.1944444444444444</v>
      </c>
      <c r="C18" s="382"/>
      <c r="D18" s="381" t="str">
        <f>IF(ISNUMBER(B18),VLOOKUP(B18,$A$40:$E$42,5),"")</f>
        <v>Soal Mudah</v>
      </c>
      <c r="E18" s="381"/>
      <c r="F18" s="381"/>
      <c r="G18" s="381"/>
      <c r="H18" s="381"/>
      <c r="I18" s="381"/>
      <c r="J18" s="381"/>
      <c r="K18" s="381"/>
      <c r="L18" s="384">
        <f>Proses!E33</f>
        <v>0.74</v>
      </c>
      <c r="M18" s="384"/>
      <c r="N18" s="381" t="str">
        <f>IF(ISNUMBER(L18),VLOOKUP(L18,$I$40:$M$43,5),"")</f>
        <v>Daya Beda Cukup Baik</v>
      </c>
      <c r="O18" s="381"/>
      <c r="P18" s="381"/>
      <c r="Q18" s="381"/>
      <c r="R18" s="381"/>
      <c r="S18" s="381"/>
      <c r="T18" s="381"/>
      <c r="U18" s="381"/>
      <c r="V18" s="383" t="str">
        <f>IF(ISNUMBER(L18),VLOOKUP(L18,$S$40:$W$43,5),"")</f>
        <v>Soal Diterima Baik</v>
      </c>
      <c r="W18" s="383"/>
      <c r="X18" s="383"/>
      <c r="Y18" s="383"/>
      <c r="Z18" s="383"/>
      <c r="AA18" s="383"/>
      <c r="AB18" s="383"/>
      <c r="AC18" s="383"/>
      <c r="AD18" s="383"/>
      <c r="AG18" s="52"/>
      <c r="AJ18" s="52"/>
      <c r="AO18" s="52"/>
    </row>
    <row r="19" spans="1:41">
      <c r="A19" s="36">
        <v>2</v>
      </c>
      <c r="B19" s="382">
        <f>Proses!F31</f>
        <v>0.80555555555555558</v>
      </c>
      <c r="C19" s="382"/>
      <c r="D19" s="381" t="str">
        <f t="shared" ref="D19:D27" si="0">IF(ISNUMBER(B19),VLOOKUP(B19,$A$40:$E$42,5),"")</f>
        <v>Soal Mudah</v>
      </c>
      <c r="E19" s="381"/>
      <c r="F19" s="381"/>
      <c r="G19" s="381"/>
      <c r="H19" s="381"/>
      <c r="I19" s="381"/>
      <c r="J19" s="381"/>
      <c r="K19" s="381"/>
      <c r="L19" s="384">
        <f>Proses!F33</f>
        <v>0.42000000000000004</v>
      </c>
      <c r="M19" s="384"/>
      <c r="N19" s="381" t="str">
        <f>IF(ISNUMBER(L19),VLOOKUP(L19,$I$40:$M$43,5),"")</f>
        <v>Daya Beda Cukup Baik</v>
      </c>
      <c r="O19" s="381"/>
      <c r="P19" s="381"/>
      <c r="Q19" s="381"/>
      <c r="R19" s="381"/>
      <c r="S19" s="381"/>
      <c r="T19" s="381"/>
      <c r="U19" s="381"/>
      <c r="V19" s="383" t="str">
        <f t="shared" ref="V19:V27" si="1">IF(ISNUMBER(L19),VLOOKUP(L19,$S$40:$W$43,5),"")</f>
        <v>Soal Diterima Baik</v>
      </c>
      <c r="W19" s="383"/>
      <c r="X19" s="383"/>
      <c r="Y19" s="383"/>
      <c r="Z19" s="383"/>
      <c r="AA19" s="383"/>
      <c r="AB19" s="383"/>
      <c r="AC19" s="383"/>
      <c r="AD19" s="383"/>
      <c r="AG19" s="52"/>
      <c r="AJ19" s="52"/>
      <c r="AO19" s="52"/>
    </row>
    <row r="20" spans="1:41">
      <c r="A20" s="36">
        <v>3</v>
      </c>
      <c r="B20" s="386">
        <f>Proses!G31</f>
        <v>0.94444444444444442</v>
      </c>
      <c r="C20" s="387"/>
      <c r="D20" s="381" t="str">
        <f t="shared" si="0"/>
        <v>Soal Mudah</v>
      </c>
      <c r="E20" s="381"/>
      <c r="F20" s="381"/>
      <c r="G20" s="381"/>
      <c r="H20" s="381"/>
      <c r="I20" s="381"/>
      <c r="J20" s="381"/>
      <c r="K20" s="381"/>
      <c r="L20" s="384">
        <f>Proses!G33</f>
        <v>0.29999999999999993</v>
      </c>
      <c r="M20" s="384"/>
      <c r="N20" s="381" t="str">
        <f>IF(ISNUMBER(L20),VLOOKUP(L20,$I$40:$M$43,5),"")</f>
        <v>Daya Beda Kurang Baik</v>
      </c>
      <c r="O20" s="381"/>
      <c r="P20" s="381"/>
      <c r="Q20" s="381"/>
      <c r="R20" s="381"/>
      <c r="S20" s="381"/>
      <c r="T20" s="381"/>
      <c r="U20" s="381"/>
      <c r="V20" s="383" t="str">
        <f t="shared" si="1"/>
        <v>Soal Diperbaiki</v>
      </c>
      <c r="W20" s="383"/>
      <c r="X20" s="383"/>
      <c r="Y20" s="383"/>
      <c r="Z20" s="383"/>
      <c r="AA20" s="383"/>
      <c r="AB20" s="383"/>
      <c r="AC20" s="383"/>
      <c r="AD20" s="383"/>
      <c r="AG20" s="52"/>
      <c r="AJ20" s="52"/>
      <c r="AO20" s="52"/>
    </row>
    <row r="21" spans="1:41">
      <c r="A21" s="36">
        <v>4</v>
      </c>
      <c r="B21" s="386">
        <f>Proses!H31</f>
        <v>0.80555555555555558</v>
      </c>
      <c r="C21" s="387"/>
      <c r="D21" s="381" t="str">
        <f t="shared" si="0"/>
        <v>Soal Mudah</v>
      </c>
      <c r="E21" s="381"/>
      <c r="F21" s="381"/>
      <c r="G21" s="381"/>
      <c r="H21" s="381"/>
      <c r="I21" s="381"/>
      <c r="J21" s="381"/>
      <c r="K21" s="381"/>
      <c r="L21" s="384">
        <f>Proses!H33</f>
        <v>0.52</v>
      </c>
      <c r="M21" s="384"/>
      <c r="N21" s="381" t="str">
        <f>IF(ISNUMBER(L21),VLOOKUP(L21,$I$40:$M$43,5),"")</f>
        <v>Daya Beda Cukup Baik</v>
      </c>
      <c r="O21" s="381"/>
      <c r="P21" s="381"/>
      <c r="Q21" s="381"/>
      <c r="R21" s="381"/>
      <c r="S21" s="381"/>
      <c r="T21" s="381"/>
      <c r="U21" s="381"/>
      <c r="V21" s="383" t="str">
        <f t="shared" si="1"/>
        <v>Soal Diterima Baik</v>
      </c>
      <c r="W21" s="383"/>
      <c r="X21" s="383"/>
      <c r="Y21" s="383"/>
      <c r="Z21" s="383"/>
      <c r="AA21" s="383"/>
      <c r="AB21" s="383"/>
      <c r="AC21" s="383"/>
      <c r="AD21" s="383"/>
      <c r="AG21" s="52"/>
      <c r="AJ21" s="52"/>
      <c r="AO21" s="52"/>
    </row>
    <row r="22" spans="1:41">
      <c r="A22" s="36">
        <v>5</v>
      </c>
      <c r="B22" s="386">
        <f>Proses!I31</f>
        <v>0.9722222222222221</v>
      </c>
      <c r="C22" s="387"/>
      <c r="D22" s="381" t="str">
        <f t="shared" si="0"/>
        <v>Soal Mudah</v>
      </c>
      <c r="E22" s="381"/>
      <c r="F22" s="381"/>
      <c r="G22" s="381"/>
      <c r="H22" s="381"/>
      <c r="I22" s="381"/>
      <c r="J22" s="381"/>
      <c r="K22" s="381"/>
      <c r="L22" s="384">
        <f>Proses!I33</f>
        <v>0.38</v>
      </c>
      <c r="M22" s="384"/>
      <c r="N22" s="381" t="str">
        <f>IF(ISNUMBER(L22),VLOOKUP(L22,$I$40:$M$43,5),"")</f>
        <v>Daya Beda Cukup Baik</v>
      </c>
      <c r="O22" s="381"/>
      <c r="P22" s="381"/>
      <c r="Q22" s="381"/>
      <c r="R22" s="381"/>
      <c r="S22" s="381"/>
      <c r="T22" s="381"/>
      <c r="U22" s="381"/>
      <c r="V22" s="383" t="str">
        <f t="shared" si="1"/>
        <v>Soal Diterima tapi Diperbaiki</v>
      </c>
      <c r="W22" s="383"/>
      <c r="X22" s="383"/>
      <c r="Y22" s="383"/>
      <c r="Z22" s="383"/>
      <c r="AA22" s="383"/>
      <c r="AB22" s="383"/>
      <c r="AC22" s="383"/>
      <c r="AD22" s="383"/>
      <c r="AG22" s="52"/>
      <c r="AJ22" s="52"/>
      <c r="AO22" s="52"/>
    </row>
    <row r="23" spans="1:41">
      <c r="A23" s="36">
        <v>6</v>
      </c>
      <c r="B23" s="386">
        <f>Proses!J31</f>
        <v>0.77777777777777779</v>
      </c>
      <c r="C23" s="387"/>
      <c r="D23" s="381" t="str">
        <f t="shared" si="0"/>
        <v>Soal Mudah</v>
      </c>
      <c r="E23" s="381"/>
      <c r="F23" s="381"/>
      <c r="G23" s="381"/>
      <c r="H23" s="381"/>
      <c r="I23" s="381"/>
      <c r="J23" s="381"/>
      <c r="K23" s="381"/>
      <c r="L23" s="384" t="str">
        <f>Proses!J33</f>
        <v/>
      </c>
      <c r="M23" s="384"/>
      <c r="N23" s="381" t="str">
        <f>IF(ISNUMBER(L23),VLOOKUP(L23,$I$40:$M$42,5),"")</f>
        <v/>
      </c>
      <c r="O23" s="381"/>
      <c r="P23" s="381"/>
      <c r="Q23" s="381"/>
      <c r="R23" s="381"/>
      <c r="S23" s="381"/>
      <c r="T23" s="381"/>
      <c r="U23" s="381"/>
      <c r="V23" s="383" t="str">
        <f t="shared" si="1"/>
        <v/>
      </c>
      <c r="W23" s="383"/>
      <c r="X23" s="383"/>
      <c r="Y23" s="383"/>
      <c r="Z23" s="383"/>
      <c r="AA23" s="383"/>
      <c r="AB23" s="383"/>
      <c r="AC23" s="383"/>
      <c r="AD23" s="383"/>
      <c r="AG23" s="52"/>
      <c r="AJ23" s="52"/>
      <c r="AO23" s="52"/>
    </row>
    <row r="24" spans="1:41">
      <c r="A24" s="36">
        <v>7</v>
      </c>
      <c r="B24" s="386">
        <f>Proses!K31</f>
        <v>0.9722222222222221</v>
      </c>
      <c r="C24" s="387"/>
      <c r="D24" s="381" t="str">
        <f t="shared" si="0"/>
        <v>Soal Mudah</v>
      </c>
      <c r="E24" s="381"/>
      <c r="F24" s="381"/>
      <c r="G24" s="381"/>
      <c r="H24" s="381"/>
      <c r="I24" s="381"/>
      <c r="J24" s="381"/>
      <c r="K24" s="381"/>
      <c r="L24" s="384" t="str">
        <f>Proses!K33</f>
        <v/>
      </c>
      <c r="M24" s="384"/>
      <c r="N24" s="381" t="str">
        <f>IF(ISNUMBER(L24),VLOOKUP(L24,$I$40:$M$42,5),"")</f>
        <v/>
      </c>
      <c r="O24" s="381"/>
      <c r="P24" s="381"/>
      <c r="Q24" s="381"/>
      <c r="R24" s="381"/>
      <c r="S24" s="381"/>
      <c r="T24" s="381"/>
      <c r="U24" s="381"/>
      <c r="V24" s="383" t="str">
        <f t="shared" si="1"/>
        <v/>
      </c>
      <c r="W24" s="383"/>
      <c r="X24" s="383"/>
      <c r="Y24" s="383"/>
      <c r="Z24" s="383"/>
      <c r="AA24" s="383"/>
      <c r="AB24" s="383"/>
      <c r="AC24" s="383"/>
      <c r="AD24" s="383"/>
      <c r="AG24" s="52"/>
    </row>
    <row r="25" spans="1:41">
      <c r="A25" s="36">
        <v>8</v>
      </c>
      <c r="B25" s="386">
        <f>Proses!L31</f>
        <v>0.72222222222222221</v>
      </c>
      <c r="C25" s="387"/>
      <c r="D25" s="381" t="str">
        <f t="shared" si="0"/>
        <v>Soal Mudah</v>
      </c>
      <c r="E25" s="381"/>
      <c r="F25" s="381"/>
      <c r="G25" s="381"/>
      <c r="H25" s="381"/>
      <c r="I25" s="381"/>
      <c r="J25" s="381"/>
      <c r="K25" s="381"/>
      <c r="L25" s="384" t="str">
        <f>Proses!L33</f>
        <v/>
      </c>
      <c r="M25" s="384"/>
      <c r="N25" s="381" t="str">
        <f>IF(ISNUMBER(L25),VLOOKUP(L25,$I$40:$M$42,5),"")</f>
        <v/>
      </c>
      <c r="O25" s="381"/>
      <c r="P25" s="381"/>
      <c r="Q25" s="381"/>
      <c r="R25" s="381"/>
      <c r="S25" s="381"/>
      <c r="T25" s="381"/>
      <c r="U25" s="381"/>
      <c r="V25" s="383" t="str">
        <f t="shared" si="1"/>
        <v/>
      </c>
      <c r="W25" s="383"/>
      <c r="X25" s="383"/>
      <c r="Y25" s="383"/>
      <c r="Z25" s="383"/>
      <c r="AA25" s="383"/>
      <c r="AB25" s="383"/>
      <c r="AC25" s="383"/>
      <c r="AD25" s="383"/>
      <c r="AG25" s="52"/>
    </row>
    <row r="26" spans="1:41">
      <c r="A26" s="36">
        <v>9</v>
      </c>
      <c r="B26" s="386" t="e">
        <f>Proses!M31</f>
        <v>#DIV/0!</v>
      </c>
      <c r="C26" s="387"/>
      <c r="D26" s="381" t="str">
        <f t="shared" si="0"/>
        <v/>
      </c>
      <c r="E26" s="381"/>
      <c r="F26" s="381"/>
      <c r="G26" s="381"/>
      <c r="H26" s="381"/>
      <c r="I26" s="381"/>
      <c r="J26" s="381"/>
      <c r="K26" s="381"/>
      <c r="L26" s="384" t="str">
        <f>Proses!M33</f>
        <v/>
      </c>
      <c r="M26" s="384"/>
      <c r="N26" s="381" t="str">
        <f>IF(ISNUMBER(L26),VLOOKUP(L26,$I$40:$M$42,5),"")</f>
        <v/>
      </c>
      <c r="O26" s="381"/>
      <c r="P26" s="381"/>
      <c r="Q26" s="381"/>
      <c r="R26" s="381"/>
      <c r="S26" s="381"/>
      <c r="T26" s="381"/>
      <c r="U26" s="381"/>
      <c r="V26" s="383" t="str">
        <f t="shared" si="1"/>
        <v/>
      </c>
      <c r="W26" s="383"/>
      <c r="X26" s="383"/>
      <c r="Y26" s="383"/>
      <c r="Z26" s="383"/>
      <c r="AA26" s="383"/>
      <c r="AB26" s="383"/>
      <c r="AC26" s="383"/>
      <c r="AD26" s="383"/>
      <c r="AG26" s="52"/>
    </row>
    <row r="27" spans="1:41">
      <c r="A27" s="36">
        <v>10</v>
      </c>
      <c r="B27" s="386" t="e">
        <f>Proses!N31</f>
        <v>#DIV/0!</v>
      </c>
      <c r="C27" s="387"/>
      <c r="D27" s="381" t="str">
        <f t="shared" si="0"/>
        <v/>
      </c>
      <c r="E27" s="381"/>
      <c r="F27" s="381"/>
      <c r="G27" s="381"/>
      <c r="H27" s="381"/>
      <c r="I27" s="381"/>
      <c r="J27" s="381"/>
      <c r="K27" s="381"/>
      <c r="L27" s="384" t="str">
        <f>Proses!N33</f>
        <v/>
      </c>
      <c r="M27" s="384"/>
      <c r="N27" s="381" t="str">
        <f>IF(ISNUMBER(L27),VLOOKUP(L27,$I$40:$M$42,5),"")</f>
        <v/>
      </c>
      <c r="O27" s="381"/>
      <c r="P27" s="381"/>
      <c r="Q27" s="381"/>
      <c r="R27" s="381"/>
      <c r="S27" s="381"/>
      <c r="T27" s="381"/>
      <c r="U27" s="381"/>
      <c r="V27" s="383" t="str">
        <f t="shared" si="1"/>
        <v/>
      </c>
      <c r="W27" s="383"/>
      <c r="X27" s="383"/>
      <c r="Y27" s="383"/>
      <c r="Z27" s="383"/>
      <c r="AA27" s="383"/>
      <c r="AB27" s="383"/>
      <c r="AC27" s="383"/>
      <c r="AD27" s="383"/>
      <c r="AG27" s="52"/>
    </row>
    <row r="28" spans="1:41">
      <c r="A28" s="37"/>
      <c r="B28" s="153"/>
      <c r="C28" s="153"/>
      <c r="D28" s="154"/>
      <c r="E28" s="154"/>
      <c r="F28" s="154"/>
      <c r="G28" s="154"/>
      <c r="H28" s="154"/>
      <c r="I28" s="154"/>
      <c r="J28" s="154"/>
      <c r="K28" s="154"/>
      <c r="L28" s="155"/>
      <c r="M28" s="155"/>
      <c r="N28" s="154"/>
      <c r="O28" s="154"/>
      <c r="P28" s="154"/>
      <c r="Q28" s="154"/>
      <c r="R28" s="154"/>
      <c r="S28" s="154"/>
      <c r="T28" s="154"/>
      <c r="U28" s="154"/>
      <c r="V28" s="37"/>
      <c r="W28" s="37"/>
      <c r="X28" s="37"/>
      <c r="Y28" s="37"/>
      <c r="Z28" s="37"/>
      <c r="AA28" s="37"/>
      <c r="AB28" s="37"/>
      <c r="AC28" s="37"/>
      <c r="AD28" s="37"/>
    </row>
    <row r="29" spans="1:41">
      <c r="AC29" s="52"/>
    </row>
    <row r="30" spans="1:41" s="53" customFormat="1" ht="15.75">
      <c r="D30" s="54" t="s">
        <v>33</v>
      </c>
      <c r="T30" s="54"/>
      <c r="V30" s="183" t="str">
        <f>""&amp;Report!F66</f>
        <v xml:space="preserve">Kendari , </v>
      </c>
      <c r="W30" s="183"/>
      <c r="X30" s="183"/>
      <c r="Y30" s="373">
        <f>J9</f>
        <v>43364</v>
      </c>
      <c r="Z30" s="373"/>
      <c r="AA30" s="373"/>
      <c r="AB30" s="373"/>
      <c r="AC30" s="183"/>
    </row>
    <row r="31" spans="1:41" s="53" customFormat="1" ht="15.75">
      <c r="D31" s="54" t="s">
        <v>34</v>
      </c>
    </row>
    <row r="32" spans="1:41" s="53" customFormat="1" ht="15.75">
      <c r="V32" s="389" t="s">
        <v>24</v>
      </c>
      <c r="W32" s="389"/>
      <c r="X32" s="389"/>
      <c r="Y32" s="389"/>
      <c r="Z32" s="389"/>
      <c r="AA32" s="389"/>
      <c r="AB32" s="389"/>
    </row>
    <row r="33" spans="1:28" s="53" customFormat="1" ht="15.75"/>
    <row r="34" spans="1:28" s="53" customFormat="1" ht="15.75"/>
    <row r="35" spans="1:28" s="53" customFormat="1" ht="15.75"/>
    <row r="36" spans="1:28" s="53" customFormat="1" ht="15.75">
      <c r="D36" s="79" t="str">
        <f>""&amp;Data1!C75</f>
        <v xml:space="preserve"> I D H A M, S.Pd., M.Hum</v>
      </c>
      <c r="V36" s="390" t="str">
        <f>""&amp;Data1!E12</f>
        <v>Abdul Samad, S.Pd., M.Pd</v>
      </c>
      <c r="W36" s="390"/>
      <c r="X36" s="390"/>
      <c r="Y36" s="390"/>
      <c r="Z36" s="390"/>
      <c r="AA36" s="390"/>
      <c r="AB36" s="390"/>
    </row>
    <row r="37" spans="1:28" ht="15.75">
      <c r="D37" s="79" t="str">
        <f>"NIP "&amp;Data1!C76</f>
        <v>NIP NIP : 196510151990031021</v>
      </c>
      <c r="V37" s="186" t="str">
        <f>"NIP "&amp;Data1!E13</f>
        <v>NIP 19720802 199702 1 001</v>
      </c>
      <c r="W37" s="186"/>
      <c r="X37" s="186"/>
      <c r="Y37" s="186"/>
      <c r="Z37" s="186"/>
      <c r="AA37" s="186"/>
      <c r="AB37" s="186"/>
    </row>
    <row r="39" spans="1:28">
      <c r="A39" s="385" t="s">
        <v>94</v>
      </c>
      <c r="B39" s="385"/>
      <c r="C39" s="385"/>
      <c r="D39" s="385"/>
      <c r="E39" s="385"/>
      <c r="F39" s="385"/>
      <c r="G39" s="385"/>
      <c r="H39" s="177"/>
      <c r="I39" s="177" t="s">
        <v>85</v>
      </c>
      <c r="J39" s="38"/>
      <c r="K39" s="38"/>
      <c r="L39" s="38"/>
      <c r="M39" s="38"/>
      <c r="N39" s="38"/>
      <c r="O39" s="38"/>
      <c r="P39" s="38"/>
      <c r="Q39" s="38"/>
      <c r="R39" s="38"/>
      <c r="S39" s="177" t="s">
        <v>87</v>
      </c>
      <c r="T39" s="38"/>
      <c r="U39" s="38"/>
    </row>
    <row r="40" spans="1:28">
      <c r="A40" s="185">
        <v>0</v>
      </c>
      <c r="B40" s="176" t="s">
        <v>81</v>
      </c>
      <c r="C40" s="52">
        <v>0.3</v>
      </c>
      <c r="D40" s="35" t="s">
        <v>13</v>
      </c>
      <c r="E40" s="52" t="s">
        <v>84</v>
      </c>
      <c r="I40" s="185">
        <v>-1</v>
      </c>
      <c r="J40" s="35" t="s">
        <v>88</v>
      </c>
      <c r="K40" s="52">
        <v>0.2</v>
      </c>
      <c r="L40" s="35" t="s">
        <v>13</v>
      </c>
      <c r="M40" s="52" t="s">
        <v>96</v>
      </c>
      <c r="S40" s="185">
        <v>-1</v>
      </c>
      <c r="T40" s="35" t="s">
        <v>88</v>
      </c>
      <c r="U40" s="52">
        <v>0.2</v>
      </c>
      <c r="V40" s="35" t="s">
        <v>13</v>
      </c>
      <c r="W40" s="52" t="s">
        <v>99</v>
      </c>
    </row>
    <row r="41" spans="1:28">
      <c r="A41" s="185">
        <f>C40</f>
        <v>0.3</v>
      </c>
      <c r="B41" s="176" t="s">
        <v>81</v>
      </c>
      <c r="C41" s="52">
        <v>0.7</v>
      </c>
      <c r="D41" s="35" t="s">
        <v>13</v>
      </c>
      <c r="E41" s="52" t="s">
        <v>83</v>
      </c>
      <c r="I41" s="185">
        <f>K40</f>
        <v>0.2</v>
      </c>
      <c r="J41" s="176" t="s">
        <v>81</v>
      </c>
      <c r="K41" s="52">
        <v>0.3</v>
      </c>
      <c r="L41" s="35" t="s">
        <v>13</v>
      </c>
      <c r="M41" s="52" t="s">
        <v>97</v>
      </c>
      <c r="S41" s="185">
        <f>U40</f>
        <v>0.2</v>
      </c>
      <c r="T41" s="176" t="s">
        <v>81</v>
      </c>
      <c r="U41" s="52">
        <v>0.3</v>
      </c>
      <c r="V41" s="35" t="s">
        <v>13</v>
      </c>
      <c r="W41" s="52" t="s">
        <v>89</v>
      </c>
    </row>
    <row r="42" spans="1:28">
      <c r="A42" s="185">
        <f>C41</f>
        <v>0.7</v>
      </c>
      <c r="B42" s="176" t="s">
        <v>81</v>
      </c>
      <c r="C42" s="52">
        <v>1</v>
      </c>
      <c r="D42" s="35" t="s">
        <v>13</v>
      </c>
      <c r="E42" s="52" t="s">
        <v>82</v>
      </c>
      <c r="I42" s="35">
        <f>K41</f>
        <v>0.3</v>
      </c>
      <c r="J42" s="176" t="s">
        <v>81</v>
      </c>
      <c r="K42" s="52" t="s">
        <v>95</v>
      </c>
      <c r="L42" s="35" t="s">
        <v>13</v>
      </c>
      <c r="M42" s="52" t="s">
        <v>98</v>
      </c>
      <c r="S42" s="35">
        <f>U41</f>
        <v>0.3</v>
      </c>
      <c r="T42" s="176" t="s">
        <v>81</v>
      </c>
      <c r="U42" s="52">
        <v>0.4</v>
      </c>
      <c r="V42" s="35" t="s">
        <v>13</v>
      </c>
      <c r="W42" s="52" t="s">
        <v>90</v>
      </c>
    </row>
    <row r="43" spans="1:28">
      <c r="I43" s="35" t="str">
        <f>K42</f>
        <v>0,4</v>
      </c>
      <c r="J43" s="176" t="s">
        <v>81</v>
      </c>
      <c r="K43" s="52">
        <v>1</v>
      </c>
      <c r="L43" s="35" t="s">
        <v>13</v>
      </c>
      <c r="M43" s="52" t="s">
        <v>86</v>
      </c>
      <c r="S43" s="35">
        <f>U42</f>
        <v>0.4</v>
      </c>
      <c r="T43" s="176" t="s">
        <v>81</v>
      </c>
      <c r="U43" s="52">
        <v>1</v>
      </c>
      <c r="V43" s="35" t="s">
        <v>13</v>
      </c>
      <c r="W43" s="52" t="s">
        <v>100</v>
      </c>
    </row>
    <row r="44" spans="1:28">
      <c r="A44" s="177" t="s">
        <v>91</v>
      </c>
      <c r="B44" s="38"/>
      <c r="C44" s="38"/>
      <c r="D44" s="38"/>
      <c r="E44" s="38"/>
      <c r="F44" s="38"/>
    </row>
    <row r="45" spans="1:28">
      <c r="A45" s="185">
        <v>0</v>
      </c>
      <c r="B45" s="176" t="s">
        <v>81</v>
      </c>
      <c r="C45" s="52">
        <v>0.7</v>
      </c>
      <c r="D45" s="35" t="s">
        <v>13</v>
      </c>
      <c r="E45" s="52" t="s">
        <v>92</v>
      </c>
    </row>
    <row r="46" spans="1:28">
      <c r="A46" s="185">
        <f>C45</f>
        <v>0.7</v>
      </c>
      <c r="B46" s="176" t="s">
        <v>81</v>
      </c>
      <c r="C46" s="52">
        <v>1</v>
      </c>
      <c r="D46" s="35" t="s">
        <v>13</v>
      </c>
      <c r="E46" s="52" t="s">
        <v>93</v>
      </c>
    </row>
  </sheetData>
  <mergeCells count="66">
    <mergeCell ref="A1:AD1"/>
    <mergeCell ref="V32:AB32"/>
    <mergeCell ref="V36:AB36"/>
    <mergeCell ref="V25:AD25"/>
    <mergeCell ref="V26:AD26"/>
    <mergeCell ref="V27:AD27"/>
    <mergeCell ref="V21:AD21"/>
    <mergeCell ref="V22:AD22"/>
    <mergeCell ref="V23:AD23"/>
    <mergeCell ref="V24:AD24"/>
    <mergeCell ref="L27:M27"/>
    <mergeCell ref="N27:U27"/>
    <mergeCell ref="L26:M26"/>
    <mergeCell ref="V16:AD17"/>
    <mergeCell ref="V18:AD18"/>
    <mergeCell ref="V19:AD19"/>
    <mergeCell ref="V20:AD20"/>
    <mergeCell ref="L25:M25"/>
    <mergeCell ref="N25:U25"/>
    <mergeCell ref="L16:U16"/>
    <mergeCell ref="L17:M17"/>
    <mergeCell ref="N17:U17"/>
    <mergeCell ref="L22:M22"/>
    <mergeCell ref="N22:U22"/>
    <mergeCell ref="L21:M21"/>
    <mergeCell ref="N21:U21"/>
    <mergeCell ref="D17:K17"/>
    <mergeCell ref="N19:U19"/>
    <mergeCell ref="D18:K18"/>
    <mergeCell ref="N26:U26"/>
    <mergeCell ref="L23:M23"/>
    <mergeCell ref="N23:U23"/>
    <mergeCell ref="L24:M24"/>
    <mergeCell ref="N24:U24"/>
    <mergeCell ref="A39:G39"/>
    <mergeCell ref="B25:C25"/>
    <mergeCell ref="D25:K25"/>
    <mergeCell ref="D26:K26"/>
    <mergeCell ref="B19:C19"/>
    <mergeCell ref="B20:C20"/>
    <mergeCell ref="B21:C21"/>
    <mergeCell ref="B26:C26"/>
    <mergeCell ref="B22:C22"/>
    <mergeCell ref="B27:C27"/>
    <mergeCell ref="D23:K23"/>
    <mergeCell ref="D24:K24"/>
    <mergeCell ref="D27:K27"/>
    <mergeCell ref="B23:C23"/>
    <mergeCell ref="B24:C24"/>
    <mergeCell ref="D19:K19"/>
    <mergeCell ref="Y30:AB30"/>
    <mergeCell ref="J7:AD7"/>
    <mergeCell ref="A2:A12"/>
    <mergeCell ref="E14:G14"/>
    <mergeCell ref="J9:M9"/>
    <mergeCell ref="D20:K20"/>
    <mergeCell ref="D21:K21"/>
    <mergeCell ref="D22:K22"/>
    <mergeCell ref="B18:C18"/>
    <mergeCell ref="B17:C17"/>
    <mergeCell ref="B16:K16"/>
    <mergeCell ref="L20:M20"/>
    <mergeCell ref="N20:U20"/>
    <mergeCell ref="L18:M18"/>
    <mergeCell ref="N18:U18"/>
    <mergeCell ref="L19:M19"/>
  </mergeCells>
  <phoneticPr fontId="0" type="noConversion"/>
  <printOptions horizontalCentered="1" verticalCentered="1"/>
  <pageMargins left="0.47244094488188998" right="0.23622047244094499" top="0.59" bottom="0.47" header="0.35" footer="0.25"/>
  <pageSetup paperSize="256" orientation="landscape" r:id="rId1"/>
  <headerFooter alignWithMargins="0">
    <oddHeader>&amp;R&amp;"Comic Sans MS,Italic"&amp;8Hasil Analisis, &amp;D ; &amp;T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81"/>
  <sheetViews>
    <sheetView zoomScale="154" zoomScaleNormal="154" workbookViewId="0">
      <selection activeCell="D5" sqref="D5"/>
    </sheetView>
  </sheetViews>
  <sheetFormatPr defaultRowHeight="14.25"/>
  <cols>
    <col min="1" max="1" width="4.28515625" style="220" customWidth="1"/>
    <col min="2" max="2" width="4.28515625" style="220" hidden="1" customWidth="1"/>
    <col min="3" max="3" width="24.42578125" style="220" customWidth="1"/>
    <col min="4" max="10" width="7" style="220" customWidth="1"/>
    <col min="11" max="11" width="5.28515625" style="220" customWidth="1"/>
    <col min="12" max="12" width="6" style="220" customWidth="1"/>
    <col min="13" max="16384" width="9.140625" style="220"/>
  </cols>
  <sheetData>
    <row r="1" spans="1:12" ht="15">
      <c r="A1" s="396" t="s">
        <v>232</v>
      </c>
      <c r="B1" s="396"/>
      <c r="C1" s="396"/>
      <c r="D1" s="396"/>
      <c r="E1" s="396"/>
      <c r="F1" s="396"/>
      <c r="G1" s="396"/>
      <c r="H1" s="396"/>
      <c r="I1" s="396"/>
      <c r="J1" s="396"/>
      <c r="K1" s="396"/>
      <c r="L1" s="396"/>
    </row>
    <row r="3" spans="1:12">
      <c r="A3" s="235"/>
      <c r="B3" s="235"/>
      <c r="C3" s="235" t="s">
        <v>130</v>
      </c>
      <c r="D3" s="236" t="str">
        <f>Data1!E5</f>
        <v>Matematika Peminatan</v>
      </c>
      <c r="E3" s="236"/>
      <c r="F3" s="235"/>
      <c r="G3" s="237"/>
      <c r="H3" s="235"/>
      <c r="I3" s="235"/>
      <c r="J3" s="235"/>
      <c r="K3" s="235"/>
    </row>
    <row r="4" spans="1:12">
      <c r="A4" s="235"/>
      <c r="B4" s="235"/>
      <c r="C4" s="235" t="s">
        <v>132</v>
      </c>
      <c r="D4" s="238" t="str">
        <f>Data1!E8</f>
        <v>Limit Fungsi</v>
      </c>
      <c r="E4" s="238"/>
      <c r="F4" s="239"/>
      <c r="G4" s="239"/>
      <c r="H4" s="239"/>
      <c r="I4" s="235"/>
      <c r="J4" s="235"/>
      <c r="K4" s="235"/>
    </row>
    <row r="5" spans="1:12">
      <c r="A5" s="235"/>
      <c r="B5" s="235"/>
      <c r="C5" s="235" t="s">
        <v>134</v>
      </c>
      <c r="D5" s="270" t="str">
        <f>Data1!E6</f>
        <v>XII MIPA 2/  SATU (GANJIL )</v>
      </c>
      <c r="E5" s="270"/>
      <c r="F5" s="239"/>
      <c r="G5" s="239"/>
      <c r="H5" s="235"/>
      <c r="I5" s="235"/>
      <c r="J5" s="235"/>
      <c r="K5" s="235"/>
    </row>
    <row r="6" spans="1:12">
      <c r="A6" s="235"/>
      <c r="B6" s="235"/>
      <c r="C6" s="237" t="s">
        <v>131</v>
      </c>
      <c r="D6" s="240" t="str">
        <f>Data1!D66</f>
        <v>29</v>
      </c>
      <c r="E6" s="235"/>
      <c r="F6" s="235"/>
      <c r="G6" s="235"/>
      <c r="H6" s="235"/>
      <c r="I6" s="235"/>
      <c r="J6" s="235"/>
      <c r="K6" s="235"/>
    </row>
    <row r="7" spans="1:12" ht="16.5" customHeight="1">
      <c r="A7" s="416" t="s">
        <v>0</v>
      </c>
      <c r="B7" s="417" t="s">
        <v>144</v>
      </c>
      <c r="C7" s="416" t="s">
        <v>129</v>
      </c>
      <c r="D7" s="416" t="s">
        <v>10</v>
      </c>
      <c r="E7" s="416" t="s">
        <v>145</v>
      </c>
      <c r="F7" s="416"/>
      <c r="G7" s="416"/>
      <c r="H7" s="419" t="s">
        <v>146</v>
      </c>
      <c r="I7" s="419" t="s">
        <v>147</v>
      </c>
      <c r="J7" s="419"/>
      <c r="K7" s="419"/>
    </row>
    <row r="8" spans="1:12">
      <c r="A8" s="416"/>
      <c r="B8" s="418"/>
      <c r="C8" s="416"/>
      <c r="D8" s="416"/>
      <c r="E8" s="241">
        <v>1</v>
      </c>
      <c r="F8" s="241">
        <v>2</v>
      </c>
      <c r="G8" s="241">
        <v>3</v>
      </c>
      <c r="H8" s="419"/>
      <c r="I8" s="419"/>
      <c r="J8" s="419"/>
      <c r="K8" s="419"/>
    </row>
    <row r="9" spans="1:12" ht="15.75" customHeight="1">
      <c r="A9" s="241">
        <v>1</v>
      </c>
      <c r="B9" s="242" t="s">
        <v>148</v>
      </c>
      <c r="C9" s="262" t="str">
        <f>Data1!C24</f>
        <v>ALIF AKBAR</v>
      </c>
      <c r="D9" s="263">
        <f>Data1!O24</f>
        <v>25</v>
      </c>
      <c r="E9" s="263">
        <f>'Remedial dan Pengayaan'!O24</f>
        <v>25</v>
      </c>
      <c r="F9" s="244"/>
      <c r="G9" s="244"/>
      <c r="H9" s="243">
        <f>(MAX(D9:G9))</f>
        <v>25</v>
      </c>
      <c r="I9" s="413">
        <v>1</v>
      </c>
      <c r="J9" s="414"/>
      <c r="K9" s="415"/>
    </row>
    <row r="10" spans="1:12" ht="15.75" customHeight="1">
      <c r="A10" s="241">
        <v>2</v>
      </c>
      <c r="B10" s="245" t="s">
        <v>149</v>
      </c>
      <c r="C10" s="262" t="str">
        <f>Data1!C25</f>
        <v>ALISA</v>
      </c>
      <c r="D10" s="263">
        <f>Data1!O25</f>
        <v>25</v>
      </c>
      <c r="E10" s="263">
        <f>'Remedial dan Pengayaan'!O25</f>
        <v>25</v>
      </c>
      <c r="F10" s="244"/>
      <c r="G10" s="244"/>
      <c r="H10" s="243">
        <f t="shared" ref="H10:H44" si="0">(MAX(D10:G10))</f>
        <v>25</v>
      </c>
      <c r="I10" s="412">
        <v>2</v>
      </c>
      <c r="J10" s="412"/>
      <c r="K10" s="412"/>
    </row>
    <row r="11" spans="1:12" ht="15.75" customHeight="1">
      <c r="A11" s="241">
        <v>3</v>
      </c>
      <c r="B11" s="245" t="s">
        <v>150</v>
      </c>
      <c r="C11" s="262" t="str">
        <f>Data1!C26</f>
        <v>AMIR</v>
      </c>
      <c r="D11" s="263">
        <f>Data1!O26</f>
        <v>87.5</v>
      </c>
      <c r="E11" s="263">
        <f>'Remedial dan Pengayaan'!O26</f>
        <v>87.5</v>
      </c>
      <c r="F11" s="244"/>
      <c r="G11" s="244"/>
      <c r="H11" s="243">
        <f t="shared" si="0"/>
        <v>87.5</v>
      </c>
      <c r="I11" s="413">
        <v>3</v>
      </c>
      <c r="J11" s="414"/>
      <c r="K11" s="415"/>
    </row>
    <row r="12" spans="1:12" ht="15.75" customHeight="1">
      <c r="A12" s="241">
        <v>4</v>
      </c>
      <c r="B12" s="245" t="s">
        <v>151</v>
      </c>
      <c r="C12" s="262" t="str">
        <f>Data1!C27</f>
        <v>ASWADILSYAH</v>
      </c>
      <c r="D12" s="263">
        <f>Data1!O27</f>
        <v>62.5</v>
      </c>
      <c r="E12" s="263">
        <f>'Remedial dan Pengayaan'!O27</f>
        <v>62.5</v>
      </c>
      <c r="F12" s="244"/>
      <c r="G12" s="244"/>
      <c r="H12" s="243">
        <f t="shared" si="0"/>
        <v>62.5</v>
      </c>
      <c r="I12" s="412">
        <v>4</v>
      </c>
      <c r="J12" s="412"/>
      <c r="K12" s="412"/>
    </row>
    <row r="13" spans="1:12" ht="17.25" customHeight="1">
      <c r="A13" s="241">
        <v>5</v>
      </c>
      <c r="B13" s="245" t="s">
        <v>152</v>
      </c>
      <c r="C13" s="262" t="str">
        <f>Data1!C28</f>
        <v>DESY REGITA SARI</v>
      </c>
      <c r="D13" s="263">
        <f>Data1!O28</f>
        <v>37.5</v>
      </c>
      <c r="E13" s="263">
        <f>'Remedial dan Pengayaan'!O28</f>
        <v>37.5</v>
      </c>
      <c r="F13" s="244"/>
      <c r="G13" s="244"/>
      <c r="H13" s="243">
        <f t="shared" si="0"/>
        <v>37.5</v>
      </c>
      <c r="I13" s="413">
        <v>5</v>
      </c>
      <c r="J13" s="414"/>
      <c r="K13" s="415"/>
    </row>
    <row r="14" spans="1:12" ht="15.75" customHeight="1">
      <c r="A14" s="241">
        <v>6</v>
      </c>
      <c r="B14" s="245" t="s">
        <v>153</v>
      </c>
      <c r="C14" s="262" t="str">
        <f>Data1!C29</f>
        <v>EFA RIANA</v>
      </c>
      <c r="D14" s="263">
        <f>Data1!O29</f>
        <v>37.5</v>
      </c>
      <c r="E14" s="263">
        <f>'Remedial dan Pengayaan'!O29</f>
        <v>37.5</v>
      </c>
      <c r="F14" s="244"/>
      <c r="G14" s="244"/>
      <c r="H14" s="243">
        <f t="shared" si="0"/>
        <v>37.5</v>
      </c>
      <c r="I14" s="412">
        <v>6</v>
      </c>
      <c r="J14" s="412"/>
      <c r="K14" s="412"/>
    </row>
    <row r="15" spans="1:12" ht="15.75" customHeight="1">
      <c r="A15" s="241">
        <v>7</v>
      </c>
      <c r="B15" s="245" t="s">
        <v>154</v>
      </c>
      <c r="C15" s="262" t="str">
        <f>Data1!C30</f>
        <v>EKA FITRIANI</v>
      </c>
      <c r="D15" s="263" t="str">
        <f>Data1!O30</f>
        <v/>
      </c>
      <c r="E15" s="263" t="str">
        <f>'Remedial dan Pengayaan'!O30</f>
        <v/>
      </c>
      <c r="F15" s="244"/>
      <c r="G15" s="244"/>
      <c r="H15" s="243">
        <f t="shared" si="0"/>
        <v>0</v>
      </c>
      <c r="I15" s="413">
        <v>7</v>
      </c>
      <c r="J15" s="414"/>
      <c r="K15" s="415"/>
    </row>
    <row r="16" spans="1:12" ht="15.75" customHeight="1">
      <c r="A16" s="241">
        <v>8</v>
      </c>
      <c r="B16" s="245" t="s">
        <v>155</v>
      </c>
      <c r="C16" s="262" t="str">
        <f>Data1!C31</f>
        <v>ENDAH SRI TORADA</v>
      </c>
      <c r="D16" s="263" t="str">
        <f>Data1!O31</f>
        <v/>
      </c>
      <c r="E16" s="263" t="str">
        <f>'Remedial dan Pengayaan'!O31</f>
        <v/>
      </c>
      <c r="F16" s="244"/>
      <c r="G16" s="244"/>
      <c r="H16" s="243">
        <f t="shared" si="0"/>
        <v>0</v>
      </c>
      <c r="I16" s="412">
        <v>8</v>
      </c>
      <c r="J16" s="412"/>
      <c r="K16" s="412"/>
    </row>
    <row r="17" spans="1:11" ht="15.75" customHeight="1">
      <c r="A17" s="241">
        <v>9</v>
      </c>
      <c r="B17" s="245" t="s">
        <v>156</v>
      </c>
      <c r="C17" s="262" t="str">
        <f>Data1!C32</f>
        <v>FARADILLA RAHMAN</v>
      </c>
      <c r="D17" s="263">
        <f>Data1!O32</f>
        <v>12.5</v>
      </c>
      <c r="E17" s="263">
        <f>'Remedial dan Pengayaan'!O32</f>
        <v>12.5</v>
      </c>
      <c r="F17" s="244"/>
      <c r="G17" s="244"/>
      <c r="H17" s="243">
        <f t="shared" si="0"/>
        <v>12.5</v>
      </c>
      <c r="I17" s="413">
        <v>9</v>
      </c>
      <c r="J17" s="414"/>
      <c r="K17" s="415"/>
    </row>
    <row r="18" spans="1:11" ht="15.75" customHeight="1">
      <c r="A18" s="241">
        <v>10</v>
      </c>
      <c r="B18" s="245" t="s">
        <v>157</v>
      </c>
      <c r="C18" s="262" t="str">
        <f>Data1!C33</f>
        <v>FEBRIYANTI</v>
      </c>
      <c r="D18" s="263">
        <f>Data1!O33</f>
        <v>62.5</v>
      </c>
      <c r="E18" s="263">
        <f>'Remedial dan Pengayaan'!O33</f>
        <v>62.5</v>
      </c>
      <c r="F18" s="244"/>
      <c r="G18" s="244"/>
      <c r="H18" s="243">
        <f t="shared" si="0"/>
        <v>62.5</v>
      </c>
      <c r="I18" s="412">
        <v>10</v>
      </c>
      <c r="J18" s="412"/>
      <c r="K18" s="412"/>
    </row>
    <row r="19" spans="1:11" ht="15.75" customHeight="1">
      <c r="A19" s="241">
        <v>11</v>
      </c>
      <c r="B19" s="245" t="s">
        <v>158</v>
      </c>
      <c r="C19" s="262" t="str">
        <f>Data1!C34</f>
        <v>FITRIANI</v>
      </c>
      <c r="D19" s="263">
        <f>Data1!O34</f>
        <v>87.5</v>
      </c>
      <c r="E19" s="263">
        <f>'Remedial dan Pengayaan'!O34</f>
        <v>87.5</v>
      </c>
      <c r="F19" s="244"/>
      <c r="G19" s="244"/>
      <c r="H19" s="243">
        <f t="shared" si="0"/>
        <v>87.5</v>
      </c>
      <c r="I19" s="413">
        <v>11</v>
      </c>
      <c r="J19" s="414"/>
      <c r="K19" s="415"/>
    </row>
    <row r="20" spans="1:11" ht="15.75" customHeight="1">
      <c r="A20" s="241">
        <v>12</v>
      </c>
      <c r="B20" s="245" t="s">
        <v>159</v>
      </c>
      <c r="C20" s="262" t="str">
        <f>Data1!C35</f>
        <v>HAFIZHAH</v>
      </c>
      <c r="D20" s="263">
        <f>Data1!O35</f>
        <v>37.5</v>
      </c>
      <c r="E20" s="263">
        <f>'Remedial dan Pengayaan'!O35</f>
        <v>37.5</v>
      </c>
      <c r="F20" s="244"/>
      <c r="G20" s="244"/>
      <c r="H20" s="243">
        <f t="shared" si="0"/>
        <v>37.5</v>
      </c>
      <c r="I20" s="412">
        <v>12</v>
      </c>
      <c r="J20" s="412"/>
      <c r="K20" s="412"/>
    </row>
    <row r="21" spans="1:11" ht="15.75" customHeight="1">
      <c r="A21" s="241">
        <v>13</v>
      </c>
      <c r="B21" s="245" t="s">
        <v>160</v>
      </c>
      <c r="C21" s="262" t="str">
        <f>Data1!C36</f>
        <v>KATRIN ALMEISA</v>
      </c>
      <c r="D21" s="263">
        <f>Data1!O36</f>
        <v>12.5</v>
      </c>
      <c r="E21" s="263">
        <f>'Remedial dan Pengayaan'!O36</f>
        <v>12.5</v>
      </c>
      <c r="F21" s="244"/>
      <c r="G21" s="244"/>
      <c r="H21" s="243">
        <f t="shared" si="0"/>
        <v>12.5</v>
      </c>
      <c r="I21" s="413">
        <v>13</v>
      </c>
      <c r="J21" s="414"/>
      <c r="K21" s="415"/>
    </row>
    <row r="22" spans="1:11" ht="15.75" customHeight="1">
      <c r="A22" s="241">
        <v>14</v>
      </c>
      <c r="B22" s="245" t="s">
        <v>161</v>
      </c>
      <c r="C22" s="262" t="str">
        <f>Data1!C37</f>
        <v>KHAVIFA DEWI AYU AMALIAH ACHMAD</v>
      </c>
      <c r="D22" s="263">
        <f>Data1!O37</f>
        <v>25</v>
      </c>
      <c r="E22" s="263">
        <f>'Remedial dan Pengayaan'!O37</f>
        <v>25</v>
      </c>
      <c r="F22" s="244"/>
      <c r="G22" s="244"/>
      <c r="H22" s="243">
        <f t="shared" si="0"/>
        <v>25</v>
      </c>
      <c r="I22" s="412">
        <v>14</v>
      </c>
      <c r="J22" s="412"/>
      <c r="K22" s="412"/>
    </row>
    <row r="23" spans="1:11" ht="15.75" customHeight="1">
      <c r="A23" s="241">
        <v>15</v>
      </c>
      <c r="B23" s="245" t="s">
        <v>162</v>
      </c>
      <c r="C23" s="262" t="str">
        <f>Data1!C38</f>
        <v>LA ODE MUHAMMAD AFANDI</v>
      </c>
      <c r="D23" s="263" t="str">
        <f>Data1!O38</f>
        <v/>
      </c>
      <c r="E23" s="263" t="str">
        <f>'Remedial dan Pengayaan'!O38</f>
        <v/>
      </c>
      <c r="F23" s="244"/>
      <c r="G23" s="244"/>
      <c r="H23" s="243">
        <f t="shared" si="0"/>
        <v>0</v>
      </c>
      <c r="I23" s="413">
        <v>15</v>
      </c>
      <c r="J23" s="414"/>
      <c r="K23" s="415"/>
    </row>
    <row r="24" spans="1:11" ht="15.75" customHeight="1">
      <c r="A24" s="241">
        <v>16</v>
      </c>
      <c r="B24" s="245" t="s">
        <v>163</v>
      </c>
      <c r="C24" s="262" t="str">
        <f>Data1!C39</f>
        <v>MASYRUQ AL JAZZULI</v>
      </c>
      <c r="D24" s="263">
        <f>Data1!O39</f>
        <v>37.5</v>
      </c>
      <c r="E24" s="263">
        <f>'Remedial dan Pengayaan'!O39</f>
        <v>37.5</v>
      </c>
      <c r="F24" s="244"/>
      <c r="G24" s="244"/>
      <c r="H24" s="243">
        <f t="shared" si="0"/>
        <v>37.5</v>
      </c>
      <c r="I24" s="412">
        <v>16</v>
      </c>
      <c r="J24" s="412"/>
      <c r="K24" s="412"/>
    </row>
    <row r="25" spans="1:11" ht="15.75" customHeight="1">
      <c r="A25" s="241">
        <v>17</v>
      </c>
      <c r="B25" s="245" t="s">
        <v>164</v>
      </c>
      <c r="C25" s="262" t="str">
        <f>Data1!C40</f>
        <v>MAULIDATUL KHOIUN NI'MAH</v>
      </c>
      <c r="D25" s="263">
        <f>Data1!O40</f>
        <v>37.5</v>
      </c>
      <c r="E25" s="263">
        <f>'Remedial dan Pengayaan'!O40</f>
        <v>37.5</v>
      </c>
      <c r="F25" s="244"/>
      <c r="G25" s="244"/>
      <c r="H25" s="243">
        <f t="shared" si="0"/>
        <v>37.5</v>
      </c>
      <c r="I25" s="413">
        <v>17</v>
      </c>
      <c r="J25" s="414"/>
      <c r="K25" s="415"/>
    </row>
    <row r="26" spans="1:11" ht="15.75" customHeight="1">
      <c r="A26" s="241">
        <v>18</v>
      </c>
      <c r="B26" s="245" t="s">
        <v>165</v>
      </c>
      <c r="C26" s="262" t="str">
        <f>Data1!C41</f>
        <v>MUH. FAJRY MUHARRAM</v>
      </c>
      <c r="D26" s="263">
        <f>Data1!O41</f>
        <v>25</v>
      </c>
      <c r="E26" s="263">
        <f>'Remedial dan Pengayaan'!O41</f>
        <v>25</v>
      </c>
      <c r="F26" s="244"/>
      <c r="G26" s="244"/>
      <c r="H26" s="243">
        <f t="shared" si="0"/>
        <v>25</v>
      </c>
      <c r="I26" s="412">
        <v>18</v>
      </c>
      <c r="J26" s="412"/>
      <c r="K26" s="412"/>
    </row>
    <row r="27" spans="1:11" ht="15.75" customHeight="1">
      <c r="A27" s="241">
        <v>19</v>
      </c>
      <c r="B27" s="245" t="s">
        <v>166</v>
      </c>
      <c r="C27" s="262" t="str">
        <f>Data1!C42</f>
        <v>MUHAMMAD ALFIAN BAKTI S.</v>
      </c>
      <c r="D27" s="263">
        <f>Data1!O42</f>
        <v>87.5</v>
      </c>
      <c r="E27" s="263">
        <f>'Remedial dan Pengayaan'!O42</f>
        <v>87.5</v>
      </c>
      <c r="F27" s="244"/>
      <c r="G27" s="244"/>
      <c r="H27" s="243">
        <f t="shared" si="0"/>
        <v>87.5</v>
      </c>
      <c r="I27" s="413">
        <v>19</v>
      </c>
      <c r="J27" s="414"/>
      <c r="K27" s="415"/>
    </row>
    <row r="28" spans="1:11" ht="15.75" customHeight="1">
      <c r="A28" s="241">
        <v>20</v>
      </c>
      <c r="B28" s="245" t="s">
        <v>167</v>
      </c>
      <c r="C28" s="262" t="str">
        <f>Data1!C43</f>
        <v>MUHAMMAD ARIANSYAH</v>
      </c>
      <c r="D28" s="263">
        <f>Data1!O43</f>
        <v>37.5</v>
      </c>
      <c r="E28" s="263">
        <f>'Remedial dan Pengayaan'!O43</f>
        <v>37.5</v>
      </c>
      <c r="F28" s="244"/>
      <c r="G28" s="244"/>
      <c r="H28" s="243">
        <f t="shared" si="0"/>
        <v>37.5</v>
      </c>
      <c r="I28" s="412">
        <v>20</v>
      </c>
      <c r="J28" s="412"/>
      <c r="K28" s="412"/>
    </row>
    <row r="29" spans="1:11" ht="15.75" customHeight="1">
      <c r="A29" s="241">
        <v>21</v>
      </c>
      <c r="B29" s="245" t="s">
        <v>168</v>
      </c>
      <c r="C29" s="262" t="str">
        <f>Data1!C44</f>
        <v>MUHAMMAD HAFIZH H.A</v>
      </c>
      <c r="D29" s="263">
        <f>Data1!O44</f>
        <v>87.5</v>
      </c>
      <c r="E29" s="263">
        <f>'Remedial dan Pengayaan'!O44</f>
        <v>87.5</v>
      </c>
      <c r="F29" s="244"/>
      <c r="G29" s="244"/>
      <c r="H29" s="243">
        <f t="shared" si="0"/>
        <v>87.5</v>
      </c>
      <c r="I29" s="413">
        <v>21</v>
      </c>
      <c r="J29" s="414"/>
      <c r="K29" s="415"/>
    </row>
    <row r="30" spans="1:11" ht="15.75" customHeight="1">
      <c r="A30" s="241">
        <v>22</v>
      </c>
      <c r="B30" s="245" t="s">
        <v>169</v>
      </c>
      <c r="C30" s="262" t="str">
        <f>Data1!C45</f>
        <v>MUHAMMAD ILHAMSYAH</v>
      </c>
      <c r="D30" s="263">
        <f>Data1!O45</f>
        <v>75</v>
      </c>
      <c r="E30" s="263">
        <f>'Remedial dan Pengayaan'!O45</f>
        <v>75</v>
      </c>
      <c r="F30" s="244"/>
      <c r="G30" s="244"/>
      <c r="H30" s="243">
        <f t="shared" si="0"/>
        <v>75</v>
      </c>
      <c r="I30" s="412">
        <v>22</v>
      </c>
      <c r="J30" s="412"/>
      <c r="K30" s="412"/>
    </row>
    <row r="31" spans="1:11" ht="15.75" customHeight="1">
      <c r="A31" s="241">
        <v>23</v>
      </c>
      <c r="B31" s="245" t="s">
        <v>170</v>
      </c>
      <c r="C31" s="262" t="str">
        <f>Data1!C46</f>
        <v>MUHAMMAD REZA FAHLEVI</v>
      </c>
      <c r="D31" s="263">
        <f>Data1!O46</f>
        <v>87.5</v>
      </c>
      <c r="E31" s="263">
        <f>'Remedial dan Pengayaan'!O46</f>
        <v>87.5</v>
      </c>
      <c r="F31" s="244"/>
      <c r="G31" s="244"/>
      <c r="H31" s="243">
        <f t="shared" si="0"/>
        <v>87.5</v>
      </c>
      <c r="I31" s="413">
        <v>23</v>
      </c>
      <c r="J31" s="414"/>
      <c r="K31" s="415"/>
    </row>
    <row r="32" spans="1:11" ht="15.75" customHeight="1">
      <c r="A32" s="241">
        <v>24</v>
      </c>
      <c r="B32" s="245" t="s">
        <v>171</v>
      </c>
      <c r="C32" s="262" t="str">
        <f>Data1!C47</f>
        <v>MUHAMMAD SYAHRIL RAMADHAN</v>
      </c>
      <c r="D32" s="263">
        <f>Data1!O47</f>
        <v>25</v>
      </c>
      <c r="E32" s="263">
        <f>'Remedial dan Pengayaan'!O47</f>
        <v>25</v>
      </c>
      <c r="F32" s="244"/>
      <c r="G32" s="244"/>
      <c r="H32" s="243">
        <f t="shared" si="0"/>
        <v>25</v>
      </c>
      <c r="I32" s="412">
        <v>24</v>
      </c>
      <c r="J32" s="412"/>
      <c r="K32" s="412"/>
    </row>
    <row r="33" spans="1:12" ht="15.75" customHeight="1">
      <c r="A33" s="241">
        <v>25</v>
      </c>
      <c r="B33" s="245" t="s">
        <v>172</v>
      </c>
      <c r="C33" s="262" t="str">
        <f>Data1!C48</f>
        <v>MUHAMMAD SYAHRUL RAMADHAN</v>
      </c>
      <c r="D33" s="263" t="str">
        <f>Data1!O48</f>
        <v/>
      </c>
      <c r="E33" s="263" t="str">
        <f>'Remedial dan Pengayaan'!O48</f>
        <v/>
      </c>
      <c r="F33" s="244"/>
      <c r="G33" s="244"/>
      <c r="H33" s="243">
        <f t="shared" si="0"/>
        <v>0</v>
      </c>
      <c r="I33" s="413">
        <v>25</v>
      </c>
      <c r="J33" s="414"/>
      <c r="K33" s="415"/>
    </row>
    <row r="34" spans="1:12" ht="15.75" customHeight="1">
      <c r="A34" s="241">
        <v>26</v>
      </c>
      <c r="B34" s="245" t="s">
        <v>173</v>
      </c>
      <c r="C34" s="262" t="str">
        <f>Data1!C49</f>
        <v>NUR HAZIRAH</v>
      </c>
      <c r="D34" s="263" t="str">
        <f>Data1!O49</f>
        <v/>
      </c>
      <c r="E34" s="263" t="str">
        <f>'Remedial dan Pengayaan'!O49</f>
        <v/>
      </c>
      <c r="F34" s="244"/>
      <c r="G34" s="244"/>
      <c r="H34" s="243">
        <f t="shared" si="0"/>
        <v>0</v>
      </c>
      <c r="I34" s="412">
        <v>26</v>
      </c>
      <c r="J34" s="412"/>
      <c r="K34" s="412"/>
    </row>
    <row r="35" spans="1:12" ht="15.75" customHeight="1">
      <c r="A35" s="241">
        <v>27</v>
      </c>
      <c r="B35" s="245" t="s">
        <v>174</v>
      </c>
      <c r="C35" s="262" t="str">
        <f>Data1!C50</f>
        <v>NURFADILAH</v>
      </c>
      <c r="D35" s="263">
        <f>Data1!O50</f>
        <v>25</v>
      </c>
      <c r="E35" s="263">
        <f>'Remedial dan Pengayaan'!O50</f>
        <v>25</v>
      </c>
      <c r="F35" s="244"/>
      <c r="G35" s="244"/>
      <c r="H35" s="243">
        <f t="shared" si="0"/>
        <v>25</v>
      </c>
      <c r="I35" s="413">
        <v>27</v>
      </c>
      <c r="J35" s="414"/>
      <c r="K35" s="415"/>
    </row>
    <row r="36" spans="1:12" ht="15.75" customHeight="1">
      <c r="A36" s="241">
        <v>28</v>
      </c>
      <c r="B36" s="245" t="s">
        <v>175</v>
      </c>
      <c r="C36" s="262" t="str">
        <f>Data1!C51</f>
        <v>RATI YANI</v>
      </c>
      <c r="D36" s="263" t="str">
        <f>Data1!O51</f>
        <v/>
      </c>
      <c r="E36" s="263" t="str">
        <f>'Remedial dan Pengayaan'!O51</f>
        <v/>
      </c>
      <c r="F36" s="244"/>
      <c r="G36" s="244"/>
      <c r="H36" s="243">
        <f t="shared" si="0"/>
        <v>0</v>
      </c>
      <c r="I36" s="412">
        <v>28</v>
      </c>
      <c r="J36" s="412"/>
      <c r="K36" s="412"/>
    </row>
    <row r="37" spans="1:12" ht="15.75" customHeight="1">
      <c r="A37" s="241">
        <v>29</v>
      </c>
      <c r="B37" s="245" t="s">
        <v>176</v>
      </c>
      <c r="C37" s="262" t="str">
        <f>Data1!C52</f>
        <v>SIGIT ARI DJAYADI</v>
      </c>
      <c r="D37" s="263">
        <f>Data1!O52</f>
        <v>12.5</v>
      </c>
      <c r="E37" s="263">
        <f>'Remedial dan Pengayaan'!O52</f>
        <v>12.5</v>
      </c>
      <c r="F37" s="244"/>
      <c r="G37" s="244"/>
      <c r="H37" s="243">
        <f t="shared" si="0"/>
        <v>12.5</v>
      </c>
      <c r="I37" s="413">
        <v>29</v>
      </c>
      <c r="J37" s="414"/>
      <c r="K37" s="415"/>
    </row>
    <row r="38" spans="1:12" ht="15.75" customHeight="1">
      <c r="A38" s="241">
        <v>30</v>
      </c>
      <c r="B38" s="245" t="s">
        <v>177</v>
      </c>
      <c r="C38" s="262" t="str">
        <f>Data1!C53</f>
        <v>SUKMA JULIA RAUF</v>
      </c>
      <c r="D38" s="263">
        <f>Data1!O53</f>
        <v>25</v>
      </c>
      <c r="E38" s="263">
        <f>'Remedial dan Pengayaan'!O53</f>
        <v>25</v>
      </c>
      <c r="F38" s="244"/>
      <c r="G38" s="244"/>
      <c r="H38" s="243">
        <f t="shared" si="0"/>
        <v>25</v>
      </c>
      <c r="I38" s="412">
        <v>30</v>
      </c>
      <c r="J38" s="412"/>
      <c r="K38" s="412"/>
    </row>
    <row r="39" spans="1:12" ht="15.75" customHeight="1">
      <c r="A39" s="241">
        <v>31</v>
      </c>
      <c r="B39" s="245"/>
      <c r="C39" s="262" t="str">
        <f>Data1!C54</f>
        <v>SUPARDI</v>
      </c>
      <c r="D39" s="263">
        <f>Data1!O54</f>
        <v>62.5</v>
      </c>
      <c r="E39" s="263">
        <f>'Remedial dan Pengayaan'!O54</f>
        <v>62.5</v>
      </c>
      <c r="F39" s="244"/>
      <c r="G39" s="244"/>
      <c r="H39" s="243">
        <f t="shared" si="0"/>
        <v>62.5</v>
      </c>
      <c r="I39" s="413">
        <v>31</v>
      </c>
      <c r="J39" s="414"/>
      <c r="K39" s="415"/>
    </row>
    <row r="40" spans="1:12" ht="15.75" customHeight="1">
      <c r="A40" s="241">
        <v>32</v>
      </c>
      <c r="B40" s="245"/>
      <c r="C40" s="262" t="str">
        <f>Data1!C55</f>
        <v>TINA ERLIAN</v>
      </c>
      <c r="D40" s="263">
        <f>Data1!O55</f>
        <v>37.5</v>
      </c>
      <c r="E40" s="263">
        <f>'Remedial dan Pengayaan'!O55</f>
        <v>37.5</v>
      </c>
      <c r="F40" s="244"/>
      <c r="G40" s="244"/>
      <c r="H40" s="243">
        <f t="shared" si="0"/>
        <v>37.5</v>
      </c>
      <c r="I40" s="412">
        <v>32</v>
      </c>
      <c r="J40" s="412"/>
      <c r="K40" s="412"/>
    </row>
    <row r="41" spans="1:12" ht="15.75" customHeight="1">
      <c r="A41" s="241">
        <v>33</v>
      </c>
      <c r="B41" s="245"/>
      <c r="C41" s="262" t="str">
        <f>Data1!C56</f>
        <v>WHIRANATHA</v>
      </c>
      <c r="D41" s="263">
        <f>Data1!O56</f>
        <v>37.5</v>
      </c>
      <c r="E41" s="263">
        <f>'Remedial dan Pengayaan'!O56</f>
        <v>37.5</v>
      </c>
      <c r="F41" s="244"/>
      <c r="G41" s="244"/>
      <c r="H41" s="243">
        <f t="shared" si="0"/>
        <v>37.5</v>
      </c>
      <c r="I41" s="413">
        <v>33</v>
      </c>
      <c r="J41" s="414"/>
      <c r="K41" s="415"/>
    </row>
    <row r="42" spans="1:12" ht="15.75" customHeight="1">
      <c r="A42" s="241">
        <v>34</v>
      </c>
      <c r="B42" s="245"/>
      <c r="C42" s="262" t="str">
        <f>Data1!C57</f>
        <v>WINDA BIRING ALLO</v>
      </c>
      <c r="D42" s="263">
        <f>Data1!O57</f>
        <v>12.5</v>
      </c>
      <c r="E42" s="263">
        <f>'Remedial dan Pengayaan'!O57</f>
        <v>12.5</v>
      </c>
      <c r="F42" s="244"/>
      <c r="G42" s="244"/>
      <c r="H42" s="243">
        <f t="shared" si="0"/>
        <v>12.5</v>
      </c>
      <c r="I42" s="412">
        <v>32</v>
      </c>
      <c r="J42" s="412"/>
      <c r="K42" s="412"/>
    </row>
    <row r="43" spans="1:12" ht="15.75" customHeight="1">
      <c r="A43" s="241">
        <v>35</v>
      </c>
      <c r="B43" s="245"/>
      <c r="C43" s="262" t="str">
        <f>Data1!C58</f>
        <v>YUSUF SALAM</v>
      </c>
      <c r="D43" s="263">
        <f>Data1!O58</f>
        <v>25</v>
      </c>
      <c r="E43" s="263">
        <f>'Remedial dan Pengayaan'!O58</f>
        <v>25</v>
      </c>
      <c r="F43" s="244"/>
      <c r="G43" s="244"/>
      <c r="H43" s="243">
        <f t="shared" si="0"/>
        <v>25</v>
      </c>
      <c r="I43" s="413">
        <v>33</v>
      </c>
      <c r="J43" s="414"/>
      <c r="K43" s="415"/>
    </row>
    <row r="44" spans="1:12" ht="15.75" customHeight="1">
      <c r="A44" s="241">
        <v>36</v>
      </c>
      <c r="B44" s="245"/>
      <c r="C44" s="262">
        <f>Data1!C59</f>
        <v>0</v>
      </c>
      <c r="D44" s="263" t="str">
        <f>Data1!O59</f>
        <v/>
      </c>
      <c r="E44" s="263" t="str">
        <f>'Remedial dan Pengayaan'!O59</f>
        <v/>
      </c>
      <c r="F44" s="244"/>
      <c r="G44" s="244"/>
      <c r="H44" s="243">
        <f t="shared" si="0"/>
        <v>0</v>
      </c>
      <c r="I44" s="412">
        <v>32</v>
      </c>
      <c r="J44" s="412"/>
      <c r="K44" s="412"/>
    </row>
    <row r="45" spans="1:12" ht="15.75" customHeight="1">
      <c r="A45" s="223"/>
      <c r="B45" s="224"/>
      <c r="C45" s="262"/>
      <c r="D45" s="246"/>
      <c r="E45" s="243" t="s">
        <v>79</v>
      </c>
      <c r="F45" s="247"/>
      <c r="G45" s="247"/>
      <c r="H45" s="246"/>
      <c r="I45" s="410"/>
      <c r="J45" s="410"/>
      <c r="K45" s="410"/>
    </row>
    <row r="46" spans="1:12" ht="15.75" customHeight="1">
      <c r="A46" s="223"/>
      <c r="B46" s="225"/>
      <c r="C46" s="227"/>
      <c r="D46" s="248"/>
      <c r="E46" s="248"/>
      <c r="F46" s="249"/>
      <c r="G46" s="249"/>
      <c r="H46" s="248"/>
      <c r="I46" s="410"/>
      <c r="J46" s="410"/>
      <c r="K46" s="410"/>
    </row>
    <row r="48" spans="1:12" ht="14.25" customHeight="1">
      <c r="A48" s="229"/>
      <c r="B48" s="229"/>
      <c r="C48" s="230" t="s">
        <v>135</v>
      </c>
      <c r="D48" s="229"/>
      <c r="E48" s="229"/>
      <c r="F48" s="234"/>
      <c r="G48" s="411" t="str">
        <f>Data1!J68</f>
        <v xml:space="preserve">Kendari , </v>
      </c>
      <c r="H48" s="411"/>
      <c r="I48" s="411"/>
      <c r="J48" s="411"/>
      <c r="K48" s="411"/>
      <c r="L48" s="290"/>
    </row>
    <row r="49" spans="1:12" ht="14.25" customHeight="1">
      <c r="A49" s="229"/>
      <c r="B49" s="229"/>
      <c r="C49" s="391" t="s">
        <v>138</v>
      </c>
      <c r="D49" s="391"/>
      <c r="E49" s="391"/>
      <c r="F49" s="229"/>
      <c r="G49" s="229"/>
      <c r="H49" s="391" t="s">
        <v>139</v>
      </c>
      <c r="I49" s="391"/>
      <c r="J49" s="391"/>
      <c r="K49" s="391"/>
      <c r="L49" s="391"/>
    </row>
    <row r="50" spans="1:12" ht="14.25" customHeight="1">
      <c r="A50" s="229"/>
      <c r="B50" s="229"/>
      <c r="C50" s="232"/>
      <c r="D50" s="232"/>
      <c r="E50" s="232"/>
      <c r="F50" s="229"/>
      <c r="G50" s="229"/>
      <c r="H50" s="232"/>
      <c r="I50" s="232"/>
      <c r="J50" s="232"/>
      <c r="K50" s="232"/>
      <c r="L50" s="232"/>
    </row>
    <row r="51" spans="1:12" ht="14.25" customHeight="1">
      <c r="A51" s="229"/>
      <c r="B51" s="229"/>
      <c r="C51" s="232"/>
      <c r="D51" s="232"/>
      <c r="E51" s="232"/>
      <c r="F51" s="229"/>
      <c r="G51" s="229"/>
      <c r="H51" s="232"/>
      <c r="I51" s="232"/>
      <c r="J51" s="232"/>
      <c r="K51" s="232"/>
      <c r="L51" s="232"/>
    </row>
    <row r="52" spans="1:12" ht="14.25" customHeight="1">
      <c r="A52" s="229"/>
      <c r="B52" s="229"/>
      <c r="C52" s="230"/>
      <c r="D52" s="229"/>
      <c r="E52" s="229"/>
      <c r="F52" s="229"/>
      <c r="G52" s="229"/>
      <c r="H52" s="232"/>
      <c r="I52" s="233"/>
      <c r="J52" s="233"/>
      <c r="K52" s="233"/>
      <c r="L52" s="233"/>
    </row>
    <row r="53" spans="1:12" ht="14.25" customHeight="1">
      <c r="A53" s="229"/>
      <c r="B53" s="229"/>
      <c r="C53" s="391" t="str">
        <f>Data1!C75</f>
        <v xml:space="preserve"> I D H A M, S.Pd., M.Hum</v>
      </c>
      <c r="D53" s="391"/>
      <c r="E53" s="234"/>
      <c r="F53" s="234"/>
      <c r="G53" s="234"/>
      <c r="H53" s="391" t="str">
        <f>Data1!J75</f>
        <v>Abdul Samad, S.Pd., M.Pd</v>
      </c>
      <c r="I53" s="391"/>
      <c r="J53" s="391"/>
      <c r="K53" s="391"/>
      <c r="L53" s="391"/>
    </row>
    <row r="54" spans="1:12" ht="14.25" customHeight="1">
      <c r="A54" s="229"/>
      <c r="B54" s="229"/>
      <c r="C54" s="391" t="str">
        <f>Data1!C76</f>
        <v>NIP : 196510151990031021</v>
      </c>
      <c r="D54" s="391"/>
      <c r="E54" s="234"/>
      <c r="F54" s="234"/>
      <c r="G54" s="234"/>
      <c r="H54" s="391" t="str">
        <f>Data1!J76</f>
        <v>NIP 19720802 199702 1 001</v>
      </c>
      <c r="I54" s="391"/>
      <c r="J54" s="391"/>
      <c r="K54" s="391"/>
      <c r="L54" s="391"/>
    </row>
    <row r="60" spans="1:12" ht="15">
      <c r="A60" s="396" t="s">
        <v>178</v>
      </c>
      <c r="B60" s="396"/>
      <c r="C60" s="396"/>
      <c r="D60" s="396"/>
      <c r="E60" s="396"/>
      <c r="F60" s="396"/>
      <c r="G60" s="396"/>
      <c r="H60" s="396"/>
      <c r="I60" s="396"/>
      <c r="J60" s="396"/>
      <c r="K60" s="396"/>
      <c r="L60" s="396"/>
    </row>
    <row r="61" spans="1:12" ht="15">
      <c r="A61" s="221"/>
      <c r="B61" s="221"/>
      <c r="C61" s="221"/>
      <c r="D61" s="221"/>
      <c r="E61" s="221"/>
      <c r="F61" s="221"/>
      <c r="G61" s="221"/>
      <c r="H61" s="221"/>
      <c r="I61" s="221"/>
      <c r="J61" s="221"/>
      <c r="K61" s="221"/>
      <c r="L61" s="221"/>
    </row>
    <row r="62" spans="1:12" ht="15">
      <c r="A62" s="221"/>
      <c r="B62" s="221"/>
      <c r="C62" s="221"/>
      <c r="D62" s="221"/>
      <c r="E62" s="221"/>
      <c r="F62" s="221"/>
      <c r="G62" s="221"/>
      <c r="H62" s="221"/>
      <c r="I62" s="221"/>
      <c r="J62" s="221"/>
      <c r="K62" s="221"/>
      <c r="L62" s="221"/>
    </row>
    <row r="63" spans="1:12" ht="15">
      <c r="A63" s="221"/>
      <c r="B63" s="221"/>
      <c r="C63" s="221"/>
      <c r="D63" s="221"/>
      <c r="E63" s="221"/>
      <c r="F63" s="221"/>
      <c r="G63" s="221"/>
      <c r="H63" s="221"/>
      <c r="I63" s="221"/>
      <c r="J63" s="221"/>
      <c r="K63" s="221"/>
      <c r="L63" s="221"/>
    </row>
    <row r="64" spans="1:12">
      <c r="A64" s="250" t="s">
        <v>179</v>
      </c>
    </row>
    <row r="65" spans="1:9">
      <c r="A65" s="251" t="s">
        <v>180</v>
      </c>
    </row>
    <row r="66" spans="1:9">
      <c r="A66" s="222" t="s">
        <v>181</v>
      </c>
      <c r="B66" s="222" t="s">
        <v>182</v>
      </c>
      <c r="G66" s="252" t="s">
        <v>13</v>
      </c>
      <c r="H66" s="231" t="e">
        <f>#REF!</f>
        <v>#REF!</v>
      </c>
      <c r="I66" s="220" t="s">
        <v>183</v>
      </c>
    </row>
    <row r="67" spans="1:9">
      <c r="A67" s="222" t="s">
        <v>184</v>
      </c>
      <c r="B67" s="222" t="s">
        <v>185</v>
      </c>
      <c r="G67" s="252" t="s">
        <v>13</v>
      </c>
      <c r="H67" s="231" t="e">
        <f>#REF!</f>
        <v>#REF!</v>
      </c>
      <c r="I67" s="220" t="s">
        <v>183</v>
      </c>
    </row>
    <row r="68" spans="1:9">
      <c r="A68" s="222" t="s">
        <v>186</v>
      </c>
      <c r="B68" s="222" t="s">
        <v>187</v>
      </c>
      <c r="C68" s="251" t="s">
        <v>188</v>
      </c>
      <c r="D68" s="253" t="s">
        <v>189</v>
      </c>
      <c r="E68" s="220" t="e">
        <f>#REF!</f>
        <v>#REF!</v>
      </c>
      <c r="F68" s="220" t="s">
        <v>190</v>
      </c>
      <c r="G68" s="254" t="e">
        <f>E68/36</f>
        <v>#REF!</v>
      </c>
      <c r="H68" s="230"/>
    </row>
    <row r="69" spans="1:9">
      <c r="A69" s="222"/>
      <c r="B69" s="222"/>
      <c r="C69" s="251"/>
      <c r="D69" s="220" t="s">
        <v>191</v>
      </c>
      <c r="E69" s="220" t="e">
        <f>#REF!</f>
        <v>#REF!</v>
      </c>
      <c r="F69" s="220" t="s">
        <v>190</v>
      </c>
      <c r="G69" s="254" t="e">
        <f>E69/36</f>
        <v>#REF!</v>
      </c>
      <c r="H69" s="230"/>
    </row>
    <row r="70" spans="1:9">
      <c r="A70" s="222"/>
      <c r="B70" s="222"/>
      <c r="C70" s="251"/>
      <c r="D70" s="220" t="s">
        <v>192</v>
      </c>
      <c r="E70" s="220" t="e">
        <f>#REF!</f>
        <v>#REF!</v>
      </c>
      <c r="F70" s="220" t="s">
        <v>190</v>
      </c>
      <c r="G70" s="254" t="e">
        <f>E70/36</f>
        <v>#REF!</v>
      </c>
      <c r="H70" s="230"/>
    </row>
    <row r="71" spans="1:9">
      <c r="A71" s="222"/>
      <c r="B71" s="222"/>
      <c r="C71" s="251"/>
      <c r="D71" s="220" t="s">
        <v>193</v>
      </c>
      <c r="E71" s="220" t="e">
        <f>#REF!</f>
        <v>#REF!</v>
      </c>
      <c r="F71" s="220" t="s">
        <v>190</v>
      </c>
      <c r="G71" s="254" t="e">
        <f>E71/36</f>
        <v>#REF!</v>
      </c>
      <c r="H71" s="230"/>
    </row>
    <row r="72" spans="1:9">
      <c r="A72" s="222"/>
      <c r="B72" s="222"/>
      <c r="C72" s="251"/>
      <c r="D72" s="220" t="s">
        <v>194</v>
      </c>
      <c r="E72" s="220" t="e">
        <f>#REF!</f>
        <v>#REF!</v>
      </c>
      <c r="F72" s="220" t="s">
        <v>190</v>
      </c>
      <c r="G72" s="254" t="e">
        <f>E72/36</f>
        <v>#REF!</v>
      </c>
      <c r="H72" s="230"/>
    </row>
    <row r="73" spans="1:9">
      <c r="A73" s="222" t="s">
        <v>195</v>
      </c>
      <c r="B73" s="222"/>
      <c r="C73" s="251"/>
      <c r="G73" s="255" t="s">
        <v>13</v>
      </c>
      <c r="H73" s="231" t="e">
        <f>#REF!</f>
        <v>#REF!</v>
      </c>
      <c r="I73" s="220" t="s">
        <v>183</v>
      </c>
    </row>
    <row r="74" spans="1:9">
      <c r="A74" s="222"/>
      <c r="B74" s="222"/>
      <c r="C74" s="251"/>
      <c r="G74" s="254"/>
      <c r="H74" s="230"/>
    </row>
    <row r="75" spans="1:9">
      <c r="G75" s="252"/>
      <c r="H75" s="230"/>
    </row>
    <row r="76" spans="1:9">
      <c r="A76" s="251" t="s">
        <v>196</v>
      </c>
      <c r="G76" s="252"/>
      <c r="H76" s="230"/>
    </row>
    <row r="77" spans="1:9">
      <c r="A77" s="222" t="s">
        <v>197</v>
      </c>
      <c r="B77" s="222" t="s">
        <v>133</v>
      </c>
      <c r="G77" s="252" t="s">
        <v>13</v>
      </c>
      <c r="H77" s="252" t="e">
        <f>MAX(#REF!)</f>
        <v>#REF!</v>
      </c>
      <c r="I77" s="220" t="s">
        <v>198</v>
      </c>
    </row>
    <row r="78" spans="1:9">
      <c r="A78" s="222" t="s">
        <v>199</v>
      </c>
      <c r="B78" s="222" t="s">
        <v>133</v>
      </c>
      <c r="G78" s="252" t="s">
        <v>13</v>
      </c>
      <c r="H78" s="252" t="e">
        <f>#REF!</f>
        <v>#REF!</v>
      </c>
      <c r="I78" s="220" t="s">
        <v>198</v>
      </c>
    </row>
    <row r="79" spans="1:9">
      <c r="A79" s="222" t="s">
        <v>200</v>
      </c>
      <c r="B79" s="222" t="s">
        <v>201</v>
      </c>
      <c r="G79" s="252" t="s">
        <v>13</v>
      </c>
      <c r="H79" s="252" t="e">
        <f>#REF!</f>
        <v>#REF!</v>
      </c>
      <c r="I79" s="220" t="s">
        <v>198</v>
      </c>
    </row>
    <row r="80" spans="1:9">
      <c r="A80" s="250"/>
      <c r="H80" s="230"/>
    </row>
    <row r="81" spans="1:12">
      <c r="A81" s="250"/>
      <c r="H81" s="230"/>
    </row>
    <row r="82" spans="1:12">
      <c r="A82" s="250" t="s">
        <v>202</v>
      </c>
      <c r="H82" s="230"/>
    </row>
    <row r="83" spans="1:12">
      <c r="A83" s="251" t="s">
        <v>203</v>
      </c>
      <c r="B83" s="251" t="s">
        <v>201</v>
      </c>
      <c r="G83" s="256"/>
      <c r="H83" s="230"/>
    </row>
    <row r="84" spans="1:12">
      <c r="A84" s="251" t="s">
        <v>204</v>
      </c>
      <c r="B84" s="251" t="s">
        <v>205</v>
      </c>
      <c r="G84" s="256"/>
      <c r="H84" s="230"/>
    </row>
    <row r="85" spans="1:12">
      <c r="A85" s="251"/>
      <c r="B85" s="251"/>
      <c r="E85" s="257" t="s">
        <v>189</v>
      </c>
      <c r="F85" s="258" t="e">
        <f>#REF!</f>
        <v>#REF!</v>
      </c>
      <c r="G85" s="256"/>
      <c r="H85" s="230"/>
    </row>
    <row r="86" spans="1:12">
      <c r="A86" s="251"/>
      <c r="B86" s="251"/>
      <c r="E86" s="257" t="s">
        <v>191</v>
      </c>
      <c r="F86" s="258"/>
      <c r="G86" s="256"/>
      <c r="H86" s="230"/>
    </row>
    <row r="87" spans="1:12">
      <c r="A87" s="251"/>
      <c r="B87" s="251"/>
      <c r="E87" s="257" t="s">
        <v>192</v>
      </c>
      <c r="F87" s="220" t="s">
        <v>79</v>
      </c>
      <c r="G87" s="256"/>
      <c r="H87" s="230"/>
    </row>
    <row r="88" spans="1:12">
      <c r="A88" s="251"/>
      <c r="B88" s="251"/>
      <c r="E88" s="257" t="s">
        <v>193</v>
      </c>
      <c r="F88" s="220" t="s">
        <v>79</v>
      </c>
      <c r="G88" s="256"/>
      <c r="H88" s="230"/>
    </row>
    <row r="89" spans="1:12">
      <c r="A89" s="251"/>
      <c r="B89" s="251"/>
      <c r="E89" s="257" t="s">
        <v>194</v>
      </c>
      <c r="F89" s="220" t="s">
        <v>79</v>
      </c>
      <c r="G89" s="256"/>
      <c r="H89" s="230"/>
    </row>
    <row r="90" spans="1:12">
      <c r="A90" s="251"/>
      <c r="B90" s="251"/>
      <c r="E90" s="257" t="s">
        <v>206</v>
      </c>
      <c r="G90" s="256"/>
      <c r="H90" s="230"/>
    </row>
    <row r="91" spans="1:12">
      <c r="A91" s="251"/>
      <c r="B91" s="251"/>
      <c r="E91" s="257" t="s">
        <v>207</v>
      </c>
      <c r="G91" s="256"/>
      <c r="H91" s="230"/>
    </row>
    <row r="92" spans="1:12">
      <c r="A92" s="251"/>
      <c r="B92" s="251"/>
      <c r="E92" s="257" t="s">
        <v>208</v>
      </c>
      <c r="G92" s="256"/>
      <c r="H92" s="230"/>
    </row>
    <row r="93" spans="1:12">
      <c r="A93" s="251"/>
      <c r="B93" s="251"/>
      <c r="E93" s="257" t="s">
        <v>209</v>
      </c>
      <c r="G93" s="256"/>
      <c r="H93" s="230"/>
    </row>
    <row r="94" spans="1:12">
      <c r="A94" s="251"/>
      <c r="B94" s="251"/>
      <c r="E94" s="257" t="s">
        <v>210</v>
      </c>
      <c r="G94" s="256"/>
      <c r="H94" s="230"/>
    </row>
    <row r="96" spans="1:12">
      <c r="A96" s="229"/>
      <c r="B96" s="229"/>
      <c r="C96" s="229"/>
      <c r="D96" s="229"/>
      <c r="E96" s="229"/>
      <c r="F96" s="229"/>
      <c r="G96" s="229"/>
      <c r="H96" s="229"/>
      <c r="I96" s="229"/>
      <c r="J96" s="229"/>
      <c r="K96" s="229"/>
      <c r="L96" s="229"/>
    </row>
    <row r="97" spans="1:12" ht="16.5" customHeight="1">
      <c r="A97" s="229"/>
      <c r="B97" s="229"/>
      <c r="C97" s="230" t="s">
        <v>135</v>
      </c>
      <c r="D97" s="229"/>
      <c r="E97" s="229"/>
      <c r="F97" s="394" t="s">
        <v>136</v>
      </c>
      <c r="G97" s="394"/>
      <c r="H97" s="394"/>
      <c r="I97" s="231">
        <v>15</v>
      </c>
      <c r="J97" s="395" t="s">
        <v>137</v>
      </c>
      <c r="K97" s="395"/>
      <c r="L97" s="395"/>
    </row>
    <row r="98" spans="1:12" ht="16.5" customHeight="1">
      <c r="A98" s="229"/>
      <c r="B98" s="229"/>
      <c r="C98" s="391" t="s">
        <v>138</v>
      </c>
      <c r="D98" s="391"/>
      <c r="E98" s="391"/>
      <c r="F98" s="229"/>
      <c r="G98" s="229"/>
      <c r="H98" s="391" t="s">
        <v>139</v>
      </c>
      <c r="I98" s="391"/>
      <c r="J98" s="391"/>
      <c r="K98" s="391"/>
      <c r="L98" s="391"/>
    </row>
    <row r="99" spans="1:12">
      <c r="A99" s="229"/>
      <c r="B99" s="229"/>
      <c r="C99" s="232"/>
      <c r="D99" s="232"/>
      <c r="E99" s="232"/>
      <c r="F99" s="229"/>
      <c r="G99" s="229"/>
      <c r="H99" s="232"/>
      <c r="I99" s="232"/>
      <c r="J99" s="232"/>
      <c r="K99" s="232"/>
      <c r="L99" s="232"/>
    </row>
    <row r="100" spans="1:12">
      <c r="A100" s="229"/>
      <c r="B100" s="229"/>
      <c r="C100" s="232"/>
      <c r="D100" s="232"/>
      <c r="E100" s="232"/>
      <c r="F100" s="229"/>
      <c r="G100" s="229"/>
      <c r="H100" s="232"/>
      <c r="I100" s="232"/>
      <c r="J100" s="232"/>
      <c r="K100" s="232"/>
      <c r="L100" s="232"/>
    </row>
    <row r="101" spans="1:12">
      <c r="A101" s="229"/>
      <c r="B101" s="229"/>
      <c r="C101" s="230"/>
      <c r="D101" s="229"/>
      <c r="E101" s="229"/>
      <c r="F101" s="229"/>
      <c r="G101" s="229"/>
      <c r="H101" s="232"/>
      <c r="I101" s="233"/>
      <c r="J101" s="233"/>
      <c r="K101" s="233"/>
      <c r="L101" s="233"/>
    </row>
    <row r="102" spans="1:12" ht="14.25" customHeight="1">
      <c r="A102" s="229"/>
      <c r="B102" s="229"/>
      <c r="C102" s="234" t="s">
        <v>140</v>
      </c>
      <c r="D102" s="234"/>
      <c r="E102" s="234"/>
      <c r="F102" s="234"/>
      <c r="G102" s="234"/>
      <c r="H102" s="391" t="s">
        <v>141</v>
      </c>
      <c r="I102" s="391"/>
      <c r="J102" s="391"/>
      <c r="K102" s="391"/>
      <c r="L102" s="391"/>
    </row>
    <row r="103" spans="1:12" ht="14.25" customHeight="1">
      <c r="A103" s="229"/>
      <c r="B103" s="229"/>
      <c r="C103" s="234" t="s">
        <v>142</v>
      </c>
      <c r="D103" s="234"/>
      <c r="E103" s="234"/>
      <c r="F103" s="234"/>
      <c r="G103" s="234"/>
      <c r="H103" s="391" t="s">
        <v>143</v>
      </c>
      <c r="I103" s="391"/>
      <c r="J103" s="391"/>
      <c r="K103" s="391"/>
      <c r="L103" s="391"/>
    </row>
    <row r="104" spans="1:12" ht="16.5" customHeight="1">
      <c r="A104" s="229"/>
      <c r="B104" s="229"/>
    </row>
    <row r="105" spans="1:12">
      <c r="A105" s="229"/>
      <c r="B105" s="229"/>
      <c r="C105" s="229"/>
      <c r="D105" s="229"/>
      <c r="E105" s="229"/>
      <c r="F105" s="229"/>
      <c r="G105" s="229"/>
      <c r="H105" s="229"/>
      <c r="I105" s="229"/>
      <c r="J105" s="229"/>
      <c r="K105" s="229"/>
      <c r="L105" s="229"/>
    </row>
    <row r="106" spans="1:12">
      <c r="A106" s="229"/>
      <c r="B106" s="229"/>
      <c r="C106" s="229"/>
      <c r="D106" s="229"/>
      <c r="E106" s="229"/>
      <c r="F106" s="229"/>
      <c r="G106" s="229"/>
      <c r="H106" s="229"/>
      <c r="I106" s="229"/>
      <c r="J106" s="229"/>
      <c r="K106" s="229"/>
      <c r="L106" s="229"/>
    </row>
    <row r="113" spans="1:12" ht="15">
      <c r="A113" s="396" t="s">
        <v>211</v>
      </c>
      <c r="B113" s="396"/>
      <c r="C113" s="396"/>
      <c r="D113" s="396"/>
      <c r="E113" s="396"/>
      <c r="F113" s="396"/>
      <c r="G113" s="396"/>
      <c r="H113" s="396"/>
      <c r="I113" s="396"/>
      <c r="J113" s="396"/>
      <c r="K113" s="396"/>
      <c r="L113" s="396"/>
    </row>
    <row r="114" spans="1:12" ht="15">
      <c r="A114" s="221"/>
      <c r="B114" s="221"/>
      <c r="C114" s="221"/>
      <c r="D114" s="221"/>
      <c r="E114" s="221"/>
      <c r="F114" s="221"/>
      <c r="G114" s="221"/>
      <c r="H114" s="221"/>
      <c r="I114" s="221"/>
      <c r="J114" s="221"/>
      <c r="K114" s="221"/>
      <c r="L114" s="221"/>
    </row>
    <row r="115" spans="1:12" ht="15">
      <c r="A115" s="221"/>
      <c r="B115" s="221"/>
      <c r="C115" s="221"/>
      <c r="D115" s="221"/>
      <c r="E115" s="221"/>
      <c r="F115" s="221"/>
      <c r="G115" s="221"/>
      <c r="H115" s="221"/>
      <c r="I115" s="221"/>
      <c r="J115" s="221"/>
      <c r="K115" s="221"/>
      <c r="L115" s="221"/>
    </row>
    <row r="117" spans="1:12">
      <c r="B117" s="220" t="s">
        <v>212</v>
      </c>
      <c r="C117" s="220" t="s">
        <v>130</v>
      </c>
      <c r="D117" s="256" t="s">
        <v>13</v>
      </c>
      <c r="E117" s="220" t="e">
        <f>#REF!</f>
        <v>#REF!</v>
      </c>
    </row>
    <row r="118" spans="1:12">
      <c r="B118" s="220" t="s">
        <v>213</v>
      </c>
      <c r="C118" s="220" t="s">
        <v>132</v>
      </c>
      <c r="D118" s="256" t="s">
        <v>13</v>
      </c>
      <c r="E118" s="220" t="e">
        <f>#REF!</f>
        <v>#REF!</v>
      </c>
    </row>
    <row r="119" spans="1:12">
      <c r="B119" s="220" t="s">
        <v>214</v>
      </c>
      <c r="C119" s="220" t="s">
        <v>134</v>
      </c>
      <c r="D119" s="256" t="s">
        <v>13</v>
      </c>
      <c r="E119" s="220" t="e">
        <f>#REF!</f>
        <v>#REF!</v>
      </c>
    </row>
    <row r="120" spans="1:12">
      <c r="B120" s="220" t="s">
        <v>187</v>
      </c>
      <c r="C120" s="220" t="s">
        <v>131</v>
      </c>
      <c r="D120" s="256" t="s">
        <v>13</v>
      </c>
      <c r="E120" s="226" t="e">
        <f>H73</f>
        <v>#REF!</v>
      </c>
    </row>
    <row r="123" spans="1:12" ht="29.25" customHeight="1">
      <c r="A123" s="259" t="s">
        <v>0</v>
      </c>
      <c r="B123" s="223"/>
      <c r="C123" s="259" t="s">
        <v>1</v>
      </c>
      <c r="D123" s="259" t="s">
        <v>55</v>
      </c>
      <c r="E123" s="393" t="s">
        <v>215</v>
      </c>
      <c r="F123" s="393"/>
      <c r="G123" s="393"/>
      <c r="H123" s="393"/>
      <c r="I123" s="393"/>
      <c r="J123" s="407" t="s">
        <v>216</v>
      </c>
      <c r="K123" s="408"/>
      <c r="L123" s="409"/>
    </row>
    <row r="124" spans="1:12" ht="36" customHeight="1">
      <c r="A124" s="223">
        <v>1</v>
      </c>
      <c r="B124" s="227"/>
      <c r="C124" s="228" t="e">
        <f>F85</f>
        <v>#REF!</v>
      </c>
      <c r="D124" s="259" t="e">
        <f>VLOOKUP(C124,#REF!,7)</f>
        <v>#REF!</v>
      </c>
      <c r="E124" s="259" t="e">
        <f>IF(VLOOKUP(C124,#REF!,2)&lt;11,"1","-")</f>
        <v>#REF!</v>
      </c>
      <c r="F124" s="259" t="e">
        <f>IF(VLOOKUP($C124,#REF!,3)&lt;11,"2","-")</f>
        <v>#REF!</v>
      </c>
      <c r="G124" s="259" t="e">
        <f>IF(VLOOKUP(C124,#REF!,4)&lt;11,"3","-")</f>
        <v>#REF!</v>
      </c>
      <c r="H124" s="259" t="e">
        <f>IF(VLOOKUP(C124,#REF!,5)&lt;11,"4","-")</f>
        <v>#REF!</v>
      </c>
      <c r="I124" s="259" t="e">
        <f>IF(VLOOKUP(C124,#REF!,6)&lt;11,"5","-")</f>
        <v>#REF!</v>
      </c>
      <c r="J124" s="398" t="s">
        <v>217</v>
      </c>
      <c r="K124" s="399"/>
      <c r="L124" s="400"/>
    </row>
    <row r="125" spans="1:12" ht="36" customHeight="1">
      <c r="A125" s="223">
        <v>2</v>
      </c>
      <c r="B125" s="227"/>
      <c r="C125" s="228" t="s">
        <v>79</v>
      </c>
      <c r="D125" s="259"/>
      <c r="E125" s="259" t="s">
        <v>79</v>
      </c>
      <c r="F125" s="259" t="s">
        <v>79</v>
      </c>
      <c r="G125" s="259" t="s">
        <v>79</v>
      </c>
      <c r="H125" s="259" t="s">
        <v>79</v>
      </c>
      <c r="I125" s="259" t="s">
        <v>79</v>
      </c>
      <c r="J125" s="401"/>
      <c r="K125" s="402"/>
      <c r="L125" s="403"/>
    </row>
    <row r="126" spans="1:12" ht="36" customHeight="1">
      <c r="A126" s="223">
        <v>3</v>
      </c>
      <c r="B126" s="227"/>
      <c r="C126" s="228" t="str">
        <f>F87</f>
        <v xml:space="preserve"> </v>
      </c>
      <c r="D126" s="259" t="s">
        <v>79</v>
      </c>
      <c r="E126" s="259" t="s">
        <v>79</v>
      </c>
      <c r="F126" s="259" t="s">
        <v>79</v>
      </c>
      <c r="G126" s="259" t="s">
        <v>79</v>
      </c>
      <c r="H126" s="259" t="s">
        <v>79</v>
      </c>
      <c r="I126" s="259" t="s">
        <v>79</v>
      </c>
      <c r="J126" s="401"/>
      <c r="K126" s="402"/>
      <c r="L126" s="403"/>
    </row>
    <row r="127" spans="1:12" ht="36" customHeight="1">
      <c r="A127" s="223">
        <v>4</v>
      </c>
      <c r="B127" s="227"/>
      <c r="C127" s="228" t="str">
        <f>F88</f>
        <v xml:space="preserve"> </v>
      </c>
      <c r="D127" s="259" t="s">
        <v>79</v>
      </c>
      <c r="E127" s="259" t="s">
        <v>79</v>
      </c>
      <c r="F127" s="259" t="s">
        <v>79</v>
      </c>
      <c r="G127" s="259" t="s">
        <v>79</v>
      </c>
      <c r="H127" s="259" t="s">
        <v>79</v>
      </c>
      <c r="I127" s="259" t="s">
        <v>79</v>
      </c>
      <c r="J127" s="401"/>
      <c r="K127" s="402"/>
      <c r="L127" s="403"/>
    </row>
    <row r="128" spans="1:12" ht="36" customHeight="1">
      <c r="A128" s="223">
        <v>5</v>
      </c>
      <c r="B128" s="227"/>
      <c r="C128" s="228" t="str">
        <f>F89</f>
        <v xml:space="preserve"> </v>
      </c>
      <c r="D128" s="259" t="s">
        <v>79</v>
      </c>
      <c r="E128" s="259" t="s">
        <v>79</v>
      </c>
      <c r="F128" s="259" t="s">
        <v>79</v>
      </c>
      <c r="G128" s="259" t="s">
        <v>79</v>
      </c>
      <c r="H128" s="259" t="s">
        <v>79</v>
      </c>
      <c r="I128" s="259" t="s">
        <v>79</v>
      </c>
      <c r="J128" s="401"/>
      <c r="K128" s="402"/>
      <c r="L128" s="403"/>
    </row>
    <row r="129" spans="1:12" ht="36" customHeight="1">
      <c r="A129" s="223"/>
      <c r="B129" s="227"/>
      <c r="C129" s="228"/>
      <c r="D129" s="259"/>
      <c r="E129" s="259"/>
      <c r="F129" s="259"/>
      <c r="G129" s="259"/>
      <c r="H129" s="259"/>
      <c r="I129" s="259"/>
      <c r="J129" s="404"/>
      <c r="K129" s="405"/>
      <c r="L129" s="406"/>
    </row>
    <row r="130" spans="1:12">
      <c r="A130" s="260"/>
      <c r="B130" s="229"/>
      <c r="C130" s="229"/>
      <c r="D130" s="260"/>
      <c r="E130" s="229"/>
      <c r="F130" s="260"/>
      <c r="G130" s="229"/>
      <c r="H130" s="229"/>
      <c r="I130" s="229"/>
    </row>
    <row r="133" spans="1:12" ht="16.5" customHeight="1">
      <c r="A133" s="229"/>
      <c r="B133" s="229"/>
      <c r="C133" s="230" t="s">
        <v>135</v>
      </c>
      <c r="D133" s="229"/>
      <c r="E133" s="229"/>
      <c r="F133" s="394" t="s">
        <v>136</v>
      </c>
      <c r="G133" s="394"/>
      <c r="H133" s="394"/>
      <c r="I133" s="231">
        <v>15</v>
      </c>
      <c r="J133" s="395" t="s">
        <v>137</v>
      </c>
      <c r="K133" s="395"/>
      <c r="L133" s="395"/>
    </row>
    <row r="134" spans="1:12" ht="16.5" customHeight="1">
      <c r="A134" s="229"/>
      <c r="B134" s="229"/>
      <c r="C134" s="391" t="s">
        <v>138</v>
      </c>
      <c r="D134" s="391"/>
      <c r="E134" s="391"/>
      <c r="F134" s="229"/>
      <c r="G134" s="229"/>
      <c r="H134" s="391" t="s">
        <v>139</v>
      </c>
      <c r="I134" s="391"/>
      <c r="J134" s="391"/>
      <c r="K134" s="391"/>
      <c r="L134" s="391"/>
    </row>
    <row r="135" spans="1:12">
      <c r="A135" s="229"/>
      <c r="B135" s="229"/>
      <c r="C135" s="232"/>
      <c r="D135" s="232"/>
      <c r="E135" s="232"/>
      <c r="F135" s="229"/>
      <c r="G135" s="229"/>
      <c r="H135" s="232"/>
      <c r="I135" s="232"/>
      <c r="J135" s="232"/>
      <c r="K135" s="232"/>
      <c r="L135" s="232"/>
    </row>
    <row r="136" spans="1:12">
      <c r="A136" s="229"/>
      <c r="B136" s="229"/>
      <c r="C136" s="232"/>
      <c r="D136" s="232"/>
      <c r="E136" s="232"/>
      <c r="F136" s="229"/>
      <c r="G136" s="229"/>
      <c r="H136" s="232"/>
      <c r="I136" s="232"/>
      <c r="J136" s="232"/>
      <c r="K136" s="232"/>
      <c r="L136" s="232"/>
    </row>
    <row r="137" spans="1:12">
      <c r="A137" s="229"/>
      <c r="B137" s="229"/>
      <c r="C137" s="230"/>
      <c r="D137" s="229"/>
      <c r="E137" s="229"/>
      <c r="F137" s="229"/>
      <c r="G137" s="229"/>
      <c r="H137" s="232"/>
      <c r="I137" s="233"/>
      <c r="J137" s="233"/>
      <c r="K137" s="233"/>
      <c r="L137" s="233"/>
    </row>
    <row r="138" spans="1:12" ht="15.75" customHeight="1">
      <c r="A138" s="229"/>
      <c r="B138" s="229"/>
      <c r="C138" s="234" t="s">
        <v>140</v>
      </c>
      <c r="D138" s="234"/>
      <c r="E138" s="234"/>
      <c r="F138" s="234"/>
      <c r="G138" s="234"/>
      <c r="H138" s="391" t="s">
        <v>141</v>
      </c>
      <c r="I138" s="391"/>
      <c r="J138" s="391"/>
      <c r="K138" s="391"/>
      <c r="L138" s="391"/>
    </row>
    <row r="139" spans="1:12" ht="16.5" customHeight="1">
      <c r="A139" s="229"/>
      <c r="B139" s="229"/>
      <c r="C139" s="234" t="s">
        <v>142</v>
      </c>
      <c r="D139" s="234"/>
      <c r="E139" s="234"/>
      <c r="F139" s="234"/>
      <c r="G139" s="234"/>
      <c r="H139" s="391" t="s">
        <v>143</v>
      </c>
      <c r="I139" s="391"/>
      <c r="J139" s="391"/>
      <c r="K139" s="391"/>
      <c r="L139" s="391"/>
    </row>
    <row r="140" spans="1:12" ht="16.5" customHeight="1">
      <c r="A140" s="229"/>
      <c r="B140" s="229"/>
    </row>
    <row r="158" spans="1:12" ht="15">
      <c r="A158" s="396" t="s">
        <v>218</v>
      </c>
      <c r="B158" s="396"/>
      <c r="C158" s="396"/>
      <c r="D158" s="396"/>
      <c r="E158" s="396"/>
      <c r="F158" s="396"/>
      <c r="G158" s="396"/>
      <c r="H158" s="396"/>
      <c r="I158" s="396"/>
      <c r="J158" s="396"/>
      <c r="K158" s="396"/>
      <c r="L158" s="396"/>
    </row>
    <row r="160" spans="1:12">
      <c r="B160" s="220" t="s">
        <v>212</v>
      </c>
      <c r="C160" s="220" t="s">
        <v>130</v>
      </c>
      <c r="D160" s="220" t="e">
        <f>E117</f>
        <v>#REF!</v>
      </c>
    </row>
    <row r="161" spans="1:12">
      <c r="B161" s="220" t="s">
        <v>213</v>
      </c>
      <c r="C161" s="220" t="s">
        <v>132</v>
      </c>
      <c r="D161" s="220" t="e">
        <f>E118</f>
        <v>#REF!</v>
      </c>
    </row>
    <row r="162" spans="1:12">
      <c r="B162" s="220" t="s">
        <v>214</v>
      </c>
      <c r="C162" s="220" t="s">
        <v>134</v>
      </c>
      <c r="D162" s="220" t="e">
        <f>E119</f>
        <v>#REF!</v>
      </c>
    </row>
    <row r="163" spans="1:12">
      <c r="B163" s="220" t="s">
        <v>219</v>
      </c>
      <c r="C163" s="220" t="s">
        <v>131</v>
      </c>
      <c r="D163" s="226" t="e">
        <f>#REF!</f>
        <v>#REF!</v>
      </c>
    </row>
    <row r="167" spans="1:12" ht="36.75" customHeight="1">
      <c r="A167" s="259" t="s">
        <v>0</v>
      </c>
      <c r="B167" s="223"/>
      <c r="C167" s="259" t="s">
        <v>220</v>
      </c>
      <c r="D167" s="393" t="s">
        <v>221</v>
      </c>
      <c r="E167" s="393"/>
      <c r="F167" s="393"/>
      <c r="G167" s="393"/>
      <c r="H167" s="393"/>
      <c r="I167" s="393"/>
      <c r="J167" s="397" t="s">
        <v>222</v>
      </c>
      <c r="K167" s="397"/>
      <c r="L167" s="223" t="s">
        <v>223</v>
      </c>
    </row>
    <row r="168" spans="1:12" ht="48.75" customHeight="1">
      <c r="A168" s="259">
        <v>1</v>
      </c>
      <c r="B168" s="223"/>
      <c r="C168" s="259" t="s">
        <v>224</v>
      </c>
      <c r="D168" s="392" t="s">
        <v>225</v>
      </c>
      <c r="E168" s="392"/>
      <c r="F168" s="392"/>
      <c r="G168" s="392"/>
      <c r="H168" s="392"/>
      <c r="I168" s="392"/>
      <c r="J168" s="393" t="e">
        <f>#REF!</f>
        <v>#REF!</v>
      </c>
      <c r="K168" s="393"/>
      <c r="L168" s="223"/>
    </row>
    <row r="169" spans="1:12" ht="50.25" customHeight="1">
      <c r="A169" s="259">
        <v>2</v>
      </c>
      <c r="B169" s="223"/>
      <c r="C169" s="259" t="s">
        <v>226</v>
      </c>
      <c r="D169" s="392" t="s">
        <v>227</v>
      </c>
      <c r="E169" s="392"/>
      <c r="F169" s="392"/>
      <c r="G169" s="392"/>
      <c r="H169" s="392"/>
      <c r="I169" s="392"/>
      <c r="J169" s="393" t="e">
        <f>#REF!</f>
        <v>#REF!</v>
      </c>
      <c r="K169" s="393"/>
      <c r="L169" s="223"/>
    </row>
    <row r="170" spans="1:12" ht="49.5" customHeight="1">
      <c r="A170" s="259">
        <v>3</v>
      </c>
      <c r="B170" s="223"/>
      <c r="C170" s="259" t="s">
        <v>228</v>
      </c>
      <c r="D170" s="392" t="s">
        <v>229</v>
      </c>
      <c r="E170" s="392"/>
      <c r="F170" s="392"/>
      <c r="G170" s="392"/>
      <c r="H170" s="392"/>
      <c r="I170" s="392"/>
      <c r="J170" s="393" t="e">
        <f>#REF!</f>
        <v>#REF!</v>
      </c>
      <c r="K170" s="393"/>
      <c r="L170" s="223"/>
    </row>
    <row r="171" spans="1:12">
      <c r="A171" s="229"/>
      <c r="B171" s="229"/>
      <c r="D171" s="229"/>
      <c r="J171" s="261"/>
    </row>
    <row r="174" spans="1:12" ht="16.5" customHeight="1">
      <c r="A174" s="229"/>
      <c r="B174" s="229"/>
      <c r="C174" s="230" t="s">
        <v>135</v>
      </c>
      <c r="D174" s="229"/>
      <c r="E174" s="229"/>
      <c r="F174" s="394" t="s">
        <v>136</v>
      </c>
      <c r="G174" s="394"/>
      <c r="H174" s="394"/>
      <c r="I174" s="231">
        <v>15</v>
      </c>
      <c r="J174" s="395" t="s">
        <v>137</v>
      </c>
      <c r="K174" s="395"/>
      <c r="L174" s="395"/>
    </row>
    <row r="175" spans="1:12" ht="16.5" customHeight="1">
      <c r="A175" s="229"/>
      <c r="B175" s="229"/>
      <c r="C175" s="391" t="s">
        <v>138</v>
      </c>
      <c r="D175" s="391"/>
      <c r="E175" s="391"/>
      <c r="F175" s="229"/>
      <c r="G175" s="229"/>
      <c r="H175" s="391" t="s">
        <v>139</v>
      </c>
      <c r="I175" s="391"/>
      <c r="J175" s="391"/>
      <c r="K175" s="391"/>
      <c r="L175" s="391"/>
    </row>
    <row r="176" spans="1:12">
      <c r="A176" s="229"/>
      <c r="B176" s="229"/>
      <c r="C176" s="232"/>
      <c r="D176" s="232"/>
      <c r="E176" s="232"/>
      <c r="F176" s="229"/>
      <c r="G176" s="229"/>
      <c r="H176" s="232"/>
      <c r="I176" s="232"/>
      <c r="J176" s="232"/>
      <c r="K176" s="232"/>
      <c r="L176" s="232"/>
    </row>
    <row r="177" spans="1:12">
      <c r="A177" s="229"/>
      <c r="B177" s="229"/>
      <c r="C177" s="232"/>
      <c r="D177" s="232"/>
      <c r="E177" s="232"/>
      <c r="F177" s="229"/>
      <c r="G177" s="229"/>
      <c r="H177" s="232"/>
      <c r="I177" s="232"/>
      <c r="J177" s="232"/>
      <c r="K177" s="232"/>
      <c r="L177" s="232"/>
    </row>
    <row r="178" spans="1:12">
      <c r="A178" s="229"/>
      <c r="B178" s="229"/>
      <c r="C178" s="230"/>
      <c r="D178" s="229"/>
      <c r="E178" s="229"/>
      <c r="F178" s="229"/>
      <c r="G178" s="229"/>
      <c r="H178" s="232"/>
      <c r="I178" s="233"/>
      <c r="J178" s="233"/>
      <c r="K178" s="233"/>
      <c r="L178" s="233"/>
    </row>
    <row r="179" spans="1:12" ht="15" customHeight="1">
      <c r="A179" s="229"/>
      <c r="B179" s="229"/>
      <c r="C179" s="234" t="s">
        <v>140</v>
      </c>
      <c r="D179" s="234"/>
      <c r="E179" s="234"/>
      <c r="F179" s="234"/>
      <c r="G179" s="234"/>
      <c r="H179" s="391" t="s">
        <v>141</v>
      </c>
      <c r="I179" s="391"/>
      <c r="J179" s="391"/>
      <c r="K179" s="391"/>
      <c r="L179" s="391"/>
    </row>
    <row r="180" spans="1:12" ht="15" customHeight="1">
      <c r="A180" s="229"/>
      <c r="B180" s="229"/>
      <c r="C180" s="234" t="s">
        <v>142</v>
      </c>
      <c r="D180" s="234"/>
      <c r="E180" s="234"/>
      <c r="F180" s="234"/>
      <c r="G180" s="234"/>
      <c r="H180" s="391" t="s">
        <v>143</v>
      </c>
      <c r="I180" s="391"/>
      <c r="J180" s="391"/>
      <c r="K180" s="391"/>
      <c r="L180" s="391"/>
    </row>
    <row r="181" spans="1:12" ht="16.5" customHeight="1">
      <c r="A181" s="229"/>
      <c r="B181" s="229"/>
    </row>
  </sheetData>
  <mergeCells count="85">
    <mergeCell ref="A1:L1"/>
    <mergeCell ref="A7:A8"/>
    <mergeCell ref="B7:B8"/>
    <mergeCell ref="C7:C8"/>
    <mergeCell ref="D7:D8"/>
    <mergeCell ref="E7:G7"/>
    <mergeCell ref="H7:H8"/>
    <mergeCell ref="I7:K8"/>
    <mergeCell ref="I20:K20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32:K32"/>
    <mergeCell ref="I21:K21"/>
    <mergeCell ref="I22:K22"/>
    <mergeCell ref="I23:K23"/>
    <mergeCell ref="I24:K24"/>
    <mergeCell ref="I25:K25"/>
    <mergeCell ref="I26:K26"/>
    <mergeCell ref="I27:K27"/>
    <mergeCell ref="I28:K28"/>
    <mergeCell ref="I29:K29"/>
    <mergeCell ref="I30:K30"/>
    <mergeCell ref="I31:K31"/>
    <mergeCell ref="I44:K44"/>
    <mergeCell ref="I33:K33"/>
    <mergeCell ref="I34:K34"/>
    <mergeCell ref="I35:K35"/>
    <mergeCell ref="I36:K36"/>
    <mergeCell ref="I37:K37"/>
    <mergeCell ref="I38:K38"/>
    <mergeCell ref="I39:K39"/>
    <mergeCell ref="I40:K40"/>
    <mergeCell ref="I41:K41"/>
    <mergeCell ref="I42:K42"/>
    <mergeCell ref="I43:K43"/>
    <mergeCell ref="I45:K45"/>
    <mergeCell ref="I46:K46"/>
    <mergeCell ref="C49:E49"/>
    <mergeCell ref="H49:L49"/>
    <mergeCell ref="G48:K48"/>
    <mergeCell ref="E123:I123"/>
    <mergeCell ref="J123:L123"/>
    <mergeCell ref="C53:D53"/>
    <mergeCell ref="H53:L53"/>
    <mergeCell ref="H54:L54"/>
    <mergeCell ref="A60:L60"/>
    <mergeCell ref="F97:H97"/>
    <mergeCell ref="J97:L97"/>
    <mergeCell ref="C98:E98"/>
    <mergeCell ref="H98:L98"/>
    <mergeCell ref="H102:L102"/>
    <mergeCell ref="H103:L103"/>
    <mergeCell ref="A113:L113"/>
    <mergeCell ref="J168:K168"/>
    <mergeCell ref="J124:L129"/>
    <mergeCell ref="F133:H133"/>
    <mergeCell ref="J133:L133"/>
    <mergeCell ref="C134:E134"/>
    <mergeCell ref="H134:L134"/>
    <mergeCell ref="H138:L138"/>
    <mergeCell ref="C175:E175"/>
    <mergeCell ref="H175:L175"/>
    <mergeCell ref="H179:L179"/>
    <mergeCell ref="H180:L180"/>
    <mergeCell ref="C54:D54"/>
    <mergeCell ref="D169:I169"/>
    <mergeCell ref="J169:K169"/>
    <mergeCell ref="D170:I170"/>
    <mergeCell ref="J170:K170"/>
    <mergeCell ref="F174:H174"/>
    <mergeCell ref="J174:L174"/>
    <mergeCell ref="H139:L139"/>
    <mergeCell ref="A158:L158"/>
    <mergeCell ref="D167:I167"/>
    <mergeCell ref="J167:K167"/>
    <mergeCell ref="D168:I16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76"/>
  <sheetViews>
    <sheetView topLeftCell="A16" zoomScale="136" zoomScaleNormal="136" workbookViewId="0">
      <selection activeCell="E24" sqref="E24"/>
    </sheetView>
  </sheetViews>
  <sheetFormatPr defaultRowHeight="12.75"/>
  <cols>
    <col min="1" max="1" width="3" style="216" customWidth="1"/>
    <col min="2" max="2" width="4.7109375" style="216" customWidth="1"/>
    <col min="3" max="3" width="25.5703125" style="216" customWidth="1"/>
    <col min="4" max="13" width="4.7109375" style="216" customWidth="1"/>
    <col min="14" max="16384" width="9.140625" style="216"/>
  </cols>
  <sheetData>
    <row r="1" spans="1:15" s="1" customFormat="1" ht="20.100000000000001" customHeight="1">
      <c r="B1" s="312" t="s">
        <v>233</v>
      </c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4"/>
    </row>
    <row r="2" spans="1:15" s="12" customFormat="1" ht="3.95" customHeight="1" thickBot="1">
      <c r="B2" s="315"/>
      <c r="C2" s="316"/>
      <c r="D2" s="316"/>
      <c r="E2" s="316"/>
      <c r="F2" s="316"/>
      <c r="G2" s="316"/>
      <c r="H2" s="316"/>
      <c r="I2" s="316"/>
      <c r="J2" s="316"/>
      <c r="K2" s="316"/>
      <c r="L2" s="316"/>
      <c r="M2" s="316"/>
      <c r="N2" s="316"/>
      <c r="O2" s="317"/>
    </row>
    <row r="3" spans="1:15" s="1" customFormat="1" ht="8.1" customHeight="1">
      <c r="B3" s="297" t="s">
        <v>12</v>
      </c>
      <c r="C3" s="55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</row>
    <row r="4" spans="1:15" s="1" customFormat="1" ht="14.1" customHeight="1">
      <c r="B4" s="298"/>
      <c r="C4" s="130" t="s">
        <v>15</v>
      </c>
      <c r="D4" s="131" t="s">
        <v>13</v>
      </c>
      <c r="E4" s="137" t="s">
        <v>102</v>
      </c>
      <c r="F4" s="39"/>
      <c r="G4" s="39"/>
      <c r="H4" s="39"/>
      <c r="I4" s="39"/>
      <c r="J4" s="39"/>
      <c r="K4" s="39"/>
      <c r="L4" s="39"/>
      <c r="M4" s="39"/>
      <c r="N4" s="39"/>
      <c r="O4" s="132"/>
    </row>
    <row r="5" spans="1:15" s="1" customFormat="1" ht="14.1" customHeight="1">
      <c r="B5" s="298"/>
      <c r="C5" s="133" t="s">
        <v>16</v>
      </c>
      <c r="D5" s="134" t="s">
        <v>13</v>
      </c>
      <c r="E5" s="39" t="str">
        <f>Data1!E5</f>
        <v>Matematika Peminatan</v>
      </c>
      <c r="F5" s="39"/>
      <c r="G5" s="39"/>
      <c r="H5" s="39"/>
      <c r="I5" s="39"/>
      <c r="J5" s="39"/>
      <c r="K5" s="39"/>
      <c r="L5" s="39"/>
      <c r="M5" s="39"/>
      <c r="N5" s="39"/>
      <c r="O5" s="132"/>
    </row>
    <row r="6" spans="1:15" s="1" customFormat="1" ht="14.1" customHeight="1">
      <c r="B6" s="298"/>
      <c r="C6" s="133" t="s">
        <v>230</v>
      </c>
      <c r="D6" s="134" t="s">
        <v>13</v>
      </c>
      <c r="E6" s="39" t="str">
        <f>Data1!E6</f>
        <v>XII MIPA 2/  SATU (GANJIL )</v>
      </c>
      <c r="F6" s="39"/>
      <c r="G6" s="39"/>
      <c r="H6" s="39"/>
      <c r="I6" s="39"/>
      <c r="J6" s="39"/>
      <c r="K6" s="39"/>
      <c r="L6" s="39"/>
      <c r="M6" s="39"/>
      <c r="N6" s="39"/>
      <c r="O6" s="132"/>
    </row>
    <row r="7" spans="1:15" s="1" customFormat="1" ht="14.1" customHeight="1">
      <c r="B7" s="298"/>
      <c r="C7" s="133" t="s">
        <v>17</v>
      </c>
      <c r="D7" s="134" t="s">
        <v>13</v>
      </c>
      <c r="E7" s="39" t="str">
        <f>Data1!E7</f>
        <v>Penilaian Tengah Semester</v>
      </c>
      <c r="F7" s="39"/>
      <c r="G7" s="39"/>
      <c r="H7" s="39"/>
      <c r="I7" s="39"/>
      <c r="J7" s="39"/>
      <c r="K7" s="39"/>
      <c r="L7" s="39"/>
      <c r="M7" s="39"/>
      <c r="N7" s="39"/>
      <c r="O7" s="132"/>
    </row>
    <row r="8" spans="1:15" s="1" customFormat="1" ht="14.1" customHeight="1">
      <c r="A8" s="207"/>
      <c r="B8" s="298"/>
      <c r="C8" s="133" t="s">
        <v>52</v>
      </c>
      <c r="D8" s="134" t="s">
        <v>13</v>
      </c>
      <c r="E8" s="39" t="str">
        <f>Data1!E8</f>
        <v>Limit Fungsi</v>
      </c>
      <c r="F8" s="208"/>
      <c r="G8" s="208"/>
      <c r="H8" s="208"/>
      <c r="I8" s="208"/>
      <c r="J8" s="208"/>
      <c r="K8" s="208"/>
      <c r="L8" s="208"/>
      <c r="M8" s="208"/>
      <c r="N8" s="208"/>
      <c r="O8" s="209"/>
    </row>
    <row r="9" spans="1:15" s="1" customFormat="1" ht="14.1" customHeight="1">
      <c r="B9" s="298"/>
      <c r="C9" s="133" t="s">
        <v>14</v>
      </c>
      <c r="D9" s="134" t="s">
        <v>13</v>
      </c>
      <c r="E9" s="39" t="str">
        <f>Data1!E9</f>
        <v>3.1 DAN 3.2</v>
      </c>
      <c r="F9" s="39"/>
      <c r="G9" s="39"/>
      <c r="H9" s="39"/>
      <c r="I9" s="39"/>
      <c r="J9" s="39"/>
      <c r="K9" s="39"/>
      <c r="L9" s="39"/>
      <c r="M9" s="39"/>
      <c r="N9" s="39"/>
      <c r="O9" s="132"/>
    </row>
    <row r="10" spans="1:15" s="1" customFormat="1" ht="13.5" customHeight="1">
      <c r="B10" s="298"/>
      <c r="C10" s="133" t="s">
        <v>239</v>
      </c>
      <c r="D10" s="134" t="s">
        <v>13</v>
      </c>
      <c r="E10" s="420">
        <v>43368</v>
      </c>
      <c r="F10" s="420"/>
      <c r="G10" s="420"/>
      <c r="H10" s="420"/>
      <c r="I10" s="420"/>
      <c r="J10" s="39"/>
      <c r="K10" s="39"/>
      <c r="L10" s="39"/>
      <c r="M10" s="39"/>
      <c r="N10" s="39"/>
      <c r="O10" s="132"/>
    </row>
    <row r="11" spans="1:15" s="1" customFormat="1" ht="14.1" customHeight="1">
      <c r="B11" s="298"/>
      <c r="C11" s="133" t="s">
        <v>101</v>
      </c>
      <c r="D11" s="134" t="s">
        <v>13</v>
      </c>
      <c r="E11" s="135">
        <f>Data1!E11</f>
        <v>75</v>
      </c>
      <c r="F11" s="135"/>
      <c r="G11" s="135"/>
      <c r="H11" s="39"/>
      <c r="I11" s="39"/>
      <c r="J11" s="39"/>
      <c r="K11" s="39"/>
      <c r="L11" s="39"/>
      <c r="M11" s="39"/>
      <c r="N11" s="39"/>
      <c r="O11" s="132"/>
    </row>
    <row r="12" spans="1:15" s="1" customFormat="1" ht="14.1" customHeight="1">
      <c r="B12" s="298"/>
      <c r="C12" s="133" t="s">
        <v>126</v>
      </c>
      <c r="D12" s="134" t="s">
        <v>13</v>
      </c>
      <c r="E12" s="39" t="str">
        <f>Data1!E12</f>
        <v>Abdul Samad, S.Pd., M.Pd</v>
      </c>
      <c r="F12" s="39"/>
      <c r="G12" s="39"/>
      <c r="H12" s="39"/>
      <c r="I12" s="39"/>
      <c r="J12" s="39"/>
      <c r="K12" s="39"/>
      <c r="L12" s="39"/>
      <c r="M12" s="39"/>
      <c r="N12" s="39"/>
      <c r="O12" s="132"/>
    </row>
    <row r="13" spans="1:15" s="1" customFormat="1" ht="14.1" customHeight="1">
      <c r="B13" s="298"/>
      <c r="C13" s="136" t="s">
        <v>53</v>
      </c>
      <c r="D13" s="19" t="s">
        <v>13</v>
      </c>
      <c r="E13" s="39" t="str">
        <f>Data1!E13</f>
        <v>19720802 199702 1 001</v>
      </c>
      <c r="F13" s="39"/>
      <c r="G13" s="39"/>
      <c r="H13" s="39"/>
      <c r="I13" s="203"/>
      <c r="J13" s="160"/>
      <c r="K13" s="160"/>
      <c r="L13" s="160"/>
      <c r="M13" s="160"/>
      <c r="N13" s="160"/>
      <c r="O13" s="161"/>
    </row>
    <row r="14" spans="1:15" s="1" customFormat="1" ht="8.1" customHeight="1" thickBot="1">
      <c r="B14" s="299"/>
      <c r="C14" s="30"/>
      <c r="D14" s="31"/>
      <c r="E14" s="109"/>
      <c r="F14" s="30"/>
      <c r="G14" s="30"/>
      <c r="H14" s="30"/>
      <c r="I14" s="30"/>
      <c r="J14" s="30"/>
      <c r="K14" s="30"/>
      <c r="L14" s="30"/>
      <c r="M14" s="30"/>
      <c r="N14" s="30"/>
      <c r="O14" s="32"/>
    </row>
    <row r="15" spans="1:15" ht="13.5" thickBot="1"/>
    <row r="16" spans="1:15" ht="16.5" thickBot="1">
      <c r="B16" s="320" t="s">
        <v>51</v>
      </c>
      <c r="C16" s="321"/>
      <c r="D16" s="321"/>
      <c r="E16" s="321"/>
      <c r="F16" s="321"/>
      <c r="G16" s="321"/>
      <c r="H16" s="321"/>
      <c r="I16" s="321"/>
      <c r="J16" s="321"/>
      <c r="K16" s="321"/>
      <c r="L16" s="321"/>
      <c r="M16" s="321"/>
      <c r="N16" s="321"/>
      <c r="O16" s="322"/>
    </row>
    <row r="17" spans="2:15">
      <c r="B17" s="325" t="s">
        <v>49</v>
      </c>
      <c r="C17" s="326"/>
      <c r="D17" s="323" t="s">
        <v>7</v>
      </c>
      <c r="E17" s="305"/>
      <c r="F17" s="305"/>
      <c r="G17" s="305"/>
      <c r="H17" s="305"/>
      <c r="I17" s="305"/>
      <c r="J17" s="305"/>
      <c r="K17" s="305"/>
      <c r="L17" s="305"/>
      <c r="M17" s="324"/>
      <c r="N17" s="4" t="s">
        <v>8</v>
      </c>
      <c r="O17" s="4" t="s">
        <v>9</v>
      </c>
    </row>
    <row r="18" spans="2:15" ht="13.5" thickBot="1">
      <c r="B18" s="327"/>
      <c r="C18" s="328"/>
      <c r="D18" s="80">
        <v>1</v>
      </c>
      <c r="E18" s="80">
        <v>2</v>
      </c>
      <c r="F18" s="80">
        <v>3</v>
      </c>
      <c r="G18" s="80">
        <v>4</v>
      </c>
      <c r="H18" s="80">
        <v>5</v>
      </c>
      <c r="I18" s="80">
        <v>6</v>
      </c>
      <c r="J18" s="80">
        <v>7</v>
      </c>
      <c r="K18" s="80">
        <v>8</v>
      </c>
      <c r="L18" s="80">
        <v>9</v>
      </c>
      <c r="M18" s="80">
        <v>10</v>
      </c>
      <c r="N18" s="8" t="s">
        <v>55</v>
      </c>
      <c r="O18" s="8" t="s">
        <v>10</v>
      </c>
    </row>
    <row r="19" spans="2:15" ht="18.75">
      <c r="B19" s="9"/>
      <c r="C19" s="10" t="s">
        <v>50</v>
      </c>
      <c r="D19" s="187">
        <f>Data1!D19</f>
        <v>5</v>
      </c>
      <c r="E19" s="187">
        <f>Data1!E19</f>
        <v>5</v>
      </c>
      <c r="F19" s="187">
        <f>Data1!F19</f>
        <v>5</v>
      </c>
      <c r="G19" s="187">
        <f>Data1!G19</f>
        <v>5</v>
      </c>
      <c r="H19" s="187">
        <f>Data1!H19</f>
        <v>5</v>
      </c>
      <c r="I19" s="187">
        <f>Data1!I19</f>
        <v>5</v>
      </c>
      <c r="J19" s="187">
        <f>Data1!J19</f>
        <v>5</v>
      </c>
      <c r="K19" s="187">
        <f>Data1!K19</f>
        <v>5</v>
      </c>
      <c r="L19" s="187">
        <f>Data1!L19</f>
        <v>0</v>
      </c>
      <c r="M19" s="187">
        <f>Data1!M19</f>
        <v>0</v>
      </c>
      <c r="N19" s="188">
        <f>IF(SUM(D19:M19)=0,"",SUM(D19:M19))</f>
        <v>40</v>
      </c>
      <c r="O19" s="200">
        <v>100</v>
      </c>
    </row>
    <row r="21" spans="2:15">
      <c r="B21" s="303" t="s">
        <v>0</v>
      </c>
      <c r="C21" s="303" t="s">
        <v>1</v>
      </c>
      <c r="D21" s="308" t="s">
        <v>7</v>
      </c>
      <c r="E21" s="308"/>
      <c r="F21" s="308"/>
      <c r="G21" s="308"/>
      <c r="H21" s="308"/>
      <c r="I21" s="308"/>
      <c r="J21" s="308"/>
      <c r="K21" s="308"/>
      <c r="L21" s="308"/>
      <c r="M21" s="301"/>
      <c r="N21" s="318" t="s">
        <v>8</v>
      </c>
      <c r="O21" s="318" t="s">
        <v>10</v>
      </c>
    </row>
    <row r="22" spans="2:15">
      <c r="B22" s="304"/>
      <c r="C22" s="304"/>
      <c r="D22" s="268">
        <v>1</v>
      </c>
      <c r="E22" s="268">
        <v>2</v>
      </c>
      <c r="F22" s="268">
        <v>3</v>
      </c>
      <c r="G22" s="268">
        <v>4</v>
      </c>
      <c r="H22" s="268">
        <v>5</v>
      </c>
      <c r="I22" s="268">
        <v>6</v>
      </c>
      <c r="J22" s="268">
        <v>7</v>
      </c>
      <c r="K22" s="268">
        <v>8</v>
      </c>
      <c r="L22" s="268">
        <v>9</v>
      </c>
      <c r="M22" s="265">
        <v>10</v>
      </c>
      <c r="N22" s="319"/>
      <c r="O22" s="319"/>
    </row>
    <row r="23" spans="2:15">
      <c r="B23" s="305"/>
      <c r="C23" s="305"/>
      <c r="D23" s="301" t="s">
        <v>54</v>
      </c>
      <c r="E23" s="302"/>
      <c r="F23" s="302"/>
      <c r="G23" s="302"/>
      <c r="H23" s="302"/>
      <c r="I23" s="302"/>
      <c r="J23" s="302"/>
      <c r="K23" s="302"/>
      <c r="L23" s="302"/>
      <c r="M23" s="302"/>
      <c r="N23" s="267" t="s">
        <v>56</v>
      </c>
      <c r="O23" s="267" t="s">
        <v>11</v>
      </c>
    </row>
    <row r="24" spans="2:15" s="11" customFormat="1" ht="15">
      <c r="B24" s="287">
        <v>1</v>
      </c>
      <c r="C24" s="288" t="str">
        <f>Data1!C24</f>
        <v>ALIF AKBAR</v>
      </c>
      <c r="D24" s="289">
        <f>Data1!D24</f>
        <v>5</v>
      </c>
      <c r="E24" s="289">
        <f>Data1!E24</f>
        <v>0</v>
      </c>
      <c r="F24" s="289">
        <f>Data1!F24</f>
        <v>0</v>
      </c>
      <c r="G24" s="289">
        <f>Data1!G24</f>
        <v>0</v>
      </c>
      <c r="H24" s="289">
        <f>Data1!H24</f>
        <v>0</v>
      </c>
      <c r="I24" s="289">
        <f>Data1!I24</f>
        <v>0</v>
      </c>
      <c r="J24" s="289">
        <f>Data1!J24</f>
        <v>5</v>
      </c>
      <c r="K24" s="289">
        <f>Data1!K24</f>
        <v>0</v>
      </c>
      <c r="L24" s="289">
        <f>Data1!L24</f>
        <v>0</v>
      </c>
      <c r="M24" s="289">
        <f>Data1!M24</f>
        <v>0</v>
      </c>
      <c r="N24" s="284">
        <f t="shared" ref="N24:N27" si="0">IF(SUM(D24:M24)=0,"",SUM(D24:M24))</f>
        <v>10</v>
      </c>
      <c r="O24" s="190">
        <f t="shared" ref="O24:O59" si="1">IF(N24="","",(N24/$N$19)*$O$19)</f>
        <v>25</v>
      </c>
    </row>
    <row r="25" spans="2:15" s="11" customFormat="1" ht="15">
      <c r="B25" s="287">
        <f>B24+1</f>
        <v>2</v>
      </c>
      <c r="C25" s="288" t="str">
        <f>Data1!C25</f>
        <v>ALISA</v>
      </c>
      <c r="D25" s="289">
        <f>Data1!D25</f>
        <v>5</v>
      </c>
      <c r="E25" s="289">
        <f>Data1!E25</f>
        <v>0</v>
      </c>
      <c r="F25" s="289">
        <f>Data1!F25</f>
        <v>0</v>
      </c>
      <c r="G25" s="289">
        <f>Data1!G25</f>
        <v>0</v>
      </c>
      <c r="H25" s="289">
        <f>Data1!H25</f>
        <v>0</v>
      </c>
      <c r="I25" s="289">
        <f>Data1!I25</f>
        <v>0</v>
      </c>
      <c r="J25" s="289">
        <f>Data1!J25</f>
        <v>5</v>
      </c>
      <c r="K25" s="289">
        <f>Data1!K25</f>
        <v>0</v>
      </c>
      <c r="L25" s="289">
        <f>Data1!L25</f>
        <v>0</v>
      </c>
      <c r="M25" s="289">
        <f>Data1!M25</f>
        <v>0</v>
      </c>
      <c r="N25" s="285">
        <f t="shared" si="0"/>
        <v>10</v>
      </c>
      <c r="O25" s="192">
        <f t="shared" si="1"/>
        <v>25</v>
      </c>
    </row>
    <row r="26" spans="2:15" s="11" customFormat="1" ht="15">
      <c r="B26" s="287">
        <f t="shared" ref="B26:B59" si="2">B25+1</f>
        <v>3</v>
      </c>
      <c r="C26" s="288" t="str">
        <f>Data1!C26</f>
        <v>AMIR</v>
      </c>
      <c r="D26" s="289">
        <f>Data1!D26</f>
        <v>5</v>
      </c>
      <c r="E26" s="289">
        <f>Data1!E26</f>
        <v>5</v>
      </c>
      <c r="F26" s="289">
        <f>Data1!F26</f>
        <v>0</v>
      </c>
      <c r="G26" s="289">
        <f>Data1!G26</f>
        <v>5</v>
      </c>
      <c r="H26" s="289">
        <f>Data1!H26</f>
        <v>5</v>
      </c>
      <c r="I26" s="289">
        <f>Data1!I26</f>
        <v>5</v>
      </c>
      <c r="J26" s="289">
        <f>Data1!J26</f>
        <v>5</v>
      </c>
      <c r="K26" s="289">
        <f>Data1!K26</f>
        <v>5</v>
      </c>
      <c r="L26" s="289">
        <f>Data1!L26</f>
        <v>0</v>
      </c>
      <c r="M26" s="289">
        <f>Data1!M26</f>
        <v>0</v>
      </c>
      <c r="N26" s="285">
        <f t="shared" si="0"/>
        <v>35</v>
      </c>
      <c r="O26" s="192">
        <f t="shared" si="1"/>
        <v>87.5</v>
      </c>
    </row>
    <row r="27" spans="2:15" s="11" customFormat="1" ht="15">
      <c r="B27" s="287">
        <f t="shared" si="2"/>
        <v>4</v>
      </c>
      <c r="C27" s="288" t="str">
        <f>Data1!C27</f>
        <v>ASWADILSYAH</v>
      </c>
      <c r="D27" s="289">
        <f>Data1!D27</f>
        <v>5</v>
      </c>
      <c r="E27" s="289">
        <f>Data1!E27</f>
        <v>0</v>
      </c>
      <c r="F27" s="289">
        <f>Data1!F27</f>
        <v>0</v>
      </c>
      <c r="G27" s="289">
        <f>Data1!G27</f>
        <v>5</v>
      </c>
      <c r="H27" s="289">
        <f>Data1!H27</f>
        <v>5</v>
      </c>
      <c r="I27" s="289">
        <f>Data1!I27</f>
        <v>5</v>
      </c>
      <c r="J27" s="289">
        <f>Data1!J27</f>
        <v>5</v>
      </c>
      <c r="K27" s="289">
        <f>Data1!K27</f>
        <v>0</v>
      </c>
      <c r="L27" s="289">
        <f>Data1!L27</f>
        <v>0</v>
      </c>
      <c r="M27" s="289">
        <f>Data1!M27</f>
        <v>0</v>
      </c>
      <c r="N27" s="285">
        <f t="shared" si="0"/>
        <v>25</v>
      </c>
      <c r="O27" s="192">
        <f t="shared" si="1"/>
        <v>62.5</v>
      </c>
    </row>
    <row r="28" spans="2:15" s="11" customFormat="1" ht="15">
      <c r="B28" s="287">
        <f t="shared" si="2"/>
        <v>5</v>
      </c>
      <c r="C28" s="288" t="str">
        <f>Data1!C28</f>
        <v>DESY REGITA SARI</v>
      </c>
      <c r="D28" s="289">
        <f>Data1!D28</f>
        <v>0</v>
      </c>
      <c r="E28" s="289">
        <f>Data1!E28</f>
        <v>5</v>
      </c>
      <c r="F28" s="289">
        <f>Data1!F28</f>
        <v>0</v>
      </c>
      <c r="G28" s="289">
        <f>Data1!G28</f>
        <v>0</v>
      </c>
      <c r="H28" s="289">
        <f>Data1!H28</f>
        <v>5</v>
      </c>
      <c r="I28" s="289">
        <f>Data1!I28</f>
        <v>0</v>
      </c>
      <c r="J28" s="289">
        <f>Data1!J28</f>
        <v>5</v>
      </c>
      <c r="K28" s="289">
        <f>Data1!K28</f>
        <v>0</v>
      </c>
      <c r="L28" s="289">
        <f>Data1!L28</f>
        <v>0</v>
      </c>
      <c r="M28" s="289">
        <f>Data1!M28</f>
        <v>0</v>
      </c>
      <c r="N28" s="285">
        <f>IF(SUM(D28:M28)=0,"",SUM(D28:M28))</f>
        <v>15</v>
      </c>
      <c r="O28" s="192">
        <f t="shared" si="1"/>
        <v>37.5</v>
      </c>
    </row>
    <row r="29" spans="2:15" s="11" customFormat="1" ht="15">
      <c r="B29" s="287">
        <f t="shared" si="2"/>
        <v>6</v>
      </c>
      <c r="C29" s="288" t="str">
        <f>Data1!C29</f>
        <v>EFA RIANA</v>
      </c>
      <c r="D29" s="289">
        <f>Data1!D29</f>
        <v>5</v>
      </c>
      <c r="E29" s="289">
        <f>Data1!E29</f>
        <v>0</v>
      </c>
      <c r="F29" s="289">
        <f>Data1!F29</f>
        <v>5</v>
      </c>
      <c r="G29" s="289">
        <f>Data1!G29</f>
        <v>0</v>
      </c>
      <c r="H29" s="289">
        <f>Data1!H29</f>
        <v>0</v>
      </c>
      <c r="I29" s="289">
        <f>Data1!I29</f>
        <v>0</v>
      </c>
      <c r="J29" s="289">
        <f>Data1!J29</f>
        <v>0</v>
      </c>
      <c r="K29" s="289">
        <f>Data1!K29</f>
        <v>5</v>
      </c>
      <c r="L29" s="289">
        <f>Data1!L29</f>
        <v>0</v>
      </c>
      <c r="M29" s="289">
        <f>Data1!M29</f>
        <v>0</v>
      </c>
      <c r="N29" s="285">
        <f>IF(SUM(D29:M29)=0,"",SUM(D29:M29))</f>
        <v>15</v>
      </c>
      <c r="O29" s="192">
        <f t="shared" si="1"/>
        <v>37.5</v>
      </c>
    </row>
    <row r="30" spans="2:15" s="11" customFormat="1" ht="15">
      <c r="B30" s="287">
        <f t="shared" si="2"/>
        <v>7</v>
      </c>
      <c r="C30" s="288" t="str">
        <f>Data1!C30</f>
        <v>EKA FITRIANI</v>
      </c>
      <c r="D30" s="289">
        <f>Data1!D30</f>
        <v>0</v>
      </c>
      <c r="E30" s="289">
        <f>Data1!E30</f>
        <v>0</v>
      </c>
      <c r="F30" s="289">
        <f>Data1!F30</f>
        <v>0</v>
      </c>
      <c r="G30" s="289">
        <f>Data1!G30</f>
        <v>0</v>
      </c>
      <c r="H30" s="289">
        <f>Data1!H30</f>
        <v>0</v>
      </c>
      <c r="I30" s="289">
        <f>Data1!I30</f>
        <v>0</v>
      </c>
      <c r="J30" s="289">
        <f>Data1!J30</f>
        <v>0</v>
      </c>
      <c r="K30" s="289">
        <f>Data1!K30</f>
        <v>0</v>
      </c>
      <c r="L30" s="289">
        <f>Data1!L30</f>
        <v>0</v>
      </c>
      <c r="M30" s="289">
        <f>Data1!M30</f>
        <v>0</v>
      </c>
      <c r="N30" s="285" t="str">
        <f>IF(SUM(D30:M30)=0,"",SUM(D30:M30))</f>
        <v/>
      </c>
      <c r="O30" s="192" t="str">
        <f t="shared" si="1"/>
        <v/>
      </c>
    </row>
    <row r="31" spans="2:15" s="11" customFormat="1" ht="15">
      <c r="B31" s="287">
        <f t="shared" si="2"/>
        <v>8</v>
      </c>
      <c r="C31" s="288" t="str">
        <f>Data1!C31</f>
        <v>ENDAH SRI TORADA</v>
      </c>
      <c r="D31" s="289">
        <f>Data1!D31</f>
        <v>0</v>
      </c>
      <c r="E31" s="289">
        <f>Data1!E31</f>
        <v>0</v>
      </c>
      <c r="F31" s="289">
        <f>Data1!F31</f>
        <v>0</v>
      </c>
      <c r="G31" s="289">
        <f>Data1!G31</f>
        <v>0</v>
      </c>
      <c r="H31" s="289">
        <f>Data1!H31</f>
        <v>0</v>
      </c>
      <c r="I31" s="289">
        <f>Data1!I31</f>
        <v>0</v>
      </c>
      <c r="J31" s="289">
        <f>Data1!J31</f>
        <v>0</v>
      </c>
      <c r="K31" s="289">
        <f>Data1!K31</f>
        <v>0</v>
      </c>
      <c r="L31" s="289">
        <f>Data1!L31</f>
        <v>0</v>
      </c>
      <c r="M31" s="289">
        <f>Data1!M31</f>
        <v>0</v>
      </c>
      <c r="N31" s="285" t="str">
        <f>IF(SUM(D31:M31)=0,"",SUM(D31:M31))</f>
        <v/>
      </c>
      <c r="O31" s="192" t="str">
        <f t="shared" si="1"/>
        <v/>
      </c>
    </row>
    <row r="32" spans="2:15" s="11" customFormat="1" ht="15">
      <c r="B32" s="287">
        <f t="shared" si="2"/>
        <v>9</v>
      </c>
      <c r="C32" s="288" t="str">
        <f>Data1!C32</f>
        <v>FARADILLA RAHMAN</v>
      </c>
      <c r="D32" s="289">
        <f>Data1!D32</f>
        <v>5</v>
      </c>
      <c r="E32" s="289">
        <f>Data1!E32</f>
        <v>0</v>
      </c>
      <c r="F32" s="289">
        <f>Data1!F32</f>
        <v>0</v>
      </c>
      <c r="G32" s="289">
        <f>Data1!G32</f>
        <v>0</v>
      </c>
      <c r="H32" s="289">
        <f>Data1!H32</f>
        <v>0</v>
      </c>
      <c r="I32" s="289">
        <f>Data1!I32</f>
        <v>0</v>
      </c>
      <c r="J32" s="289">
        <f>Data1!J32</f>
        <v>0</v>
      </c>
      <c r="K32" s="289">
        <f>Data1!K32</f>
        <v>0</v>
      </c>
      <c r="L32" s="289">
        <f>Data1!L32</f>
        <v>0</v>
      </c>
      <c r="M32" s="289">
        <f>Data1!M32</f>
        <v>0</v>
      </c>
      <c r="N32" s="285">
        <f t="shared" ref="N32:N59" si="3">IF(SUM(D32:M32)=0,"",SUM(D32:M32))</f>
        <v>5</v>
      </c>
      <c r="O32" s="192">
        <f t="shared" si="1"/>
        <v>12.5</v>
      </c>
    </row>
    <row r="33" spans="2:15" s="11" customFormat="1" ht="15">
      <c r="B33" s="287">
        <f t="shared" si="2"/>
        <v>10</v>
      </c>
      <c r="C33" s="288" t="str">
        <f>Data1!C33</f>
        <v>FEBRIYANTI</v>
      </c>
      <c r="D33" s="289">
        <f>Data1!D33</f>
        <v>5</v>
      </c>
      <c r="E33" s="289">
        <f>Data1!E33</f>
        <v>5</v>
      </c>
      <c r="F33" s="289">
        <f>Data1!F33</f>
        <v>5</v>
      </c>
      <c r="G33" s="289">
        <f>Data1!G33</f>
        <v>0</v>
      </c>
      <c r="H33" s="289">
        <f>Data1!H33</f>
        <v>5</v>
      </c>
      <c r="I33" s="289">
        <f>Data1!I33</f>
        <v>0</v>
      </c>
      <c r="J33" s="289">
        <f>Data1!J33</f>
        <v>5</v>
      </c>
      <c r="K33" s="289">
        <f>Data1!K33</f>
        <v>0</v>
      </c>
      <c r="L33" s="289">
        <f>Data1!L33</f>
        <v>0</v>
      </c>
      <c r="M33" s="289">
        <f>Data1!M33</f>
        <v>0</v>
      </c>
      <c r="N33" s="285">
        <f t="shared" si="3"/>
        <v>25</v>
      </c>
      <c r="O33" s="192">
        <f t="shared" si="1"/>
        <v>62.5</v>
      </c>
    </row>
    <row r="34" spans="2:15" s="11" customFormat="1" ht="15">
      <c r="B34" s="287">
        <f t="shared" si="2"/>
        <v>11</v>
      </c>
      <c r="C34" s="288" t="str">
        <f>Data1!C34</f>
        <v>FITRIANI</v>
      </c>
      <c r="D34" s="289">
        <f>Data1!D34</f>
        <v>5</v>
      </c>
      <c r="E34" s="289">
        <f>Data1!E34</f>
        <v>5</v>
      </c>
      <c r="F34" s="289">
        <f>Data1!F34</f>
        <v>5</v>
      </c>
      <c r="G34" s="289">
        <f>Data1!G34</f>
        <v>0</v>
      </c>
      <c r="H34" s="289">
        <f>Data1!H34</f>
        <v>5</v>
      </c>
      <c r="I34" s="289">
        <f>Data1!I34</f>
        <v>5</v>
      </c>
      <c r="J34" s="289">
        <f>Data1!J34</f>
        <v>5</v>
      </c>
      <c r="K34" s="289">
        <f>Data1!K34</f>
        <v>5</v>
      </c>
      <c r="L34" s="289">
        <f>Data1!L34</f>
        <v>0</v>
      </c>
      <c r="M34" s="289">
        <f>Data1!M34</f>
        <v>0</v>
      </c>
      <c r="N34" s="285">
        <f t="shared" si="3"/>
        <v>35</v>
      </c>
      <c r="O34" s="192">
        <f t="shared" si="1"/>
        <v>87.5</v>
      </c>
    </row>
    <row r="35" spans="2:15" s="11" customFormat="1" ht="15">
      <c r="B35" s="287">
        <f t="shared" si="2"/>
        <v>12</v>
      </c>
      <c r="C35" s="288" t="str">
        <f>Data1!C35</f>
        <v>HAFIZHAH</v>
      </c>
      <c r="D35" s="289">
        <f>Data1!D35</f>
        <v>0</v>
      </c>
      <c r="E35" s="289">
        <f>Data1!E35</f>
        <v>5</v>
      </c>
      <c r="F35" s="289">
        <f>Data1!F35</f>
        <v>0</v>
      </c>
      <c r="G35" s="289">
        <f>Data1!G35</f>
        <v>5</v>
      </c>
      <c r="H35" s="289">
        <f>Data1!H35</f>
        <v>0</v>
      </c>
      <c r="I35" s="289">
        <f>Data1!I35</f>
        <v>0</v>
      </c>
      <c r="J35" s="289">
        <f>Data1!J35</f>
        <v>5</v>
      </c>
      <c r="K35" s="289">
        <f>Data1!K35</f>
        <v>0</v>
      </c>
      <c r="L35" s="289">
        <f>Data1!L35</f>
        <v>0</v>
      </c>
      <c r="M35" s="289">
        <f>Data1!M35</f>
        <v>0</v>
      </c>
      <c r="N35" s="285">
        <f t="shared" si="3"/>
        <v>15</v>
      </c>
      <c r="O35" s="192">
        <f t="shared" si="1"/>
        <v>37.5</v>
      </c>
    </row>
    <row r="36" spans="2:15" s="11" customFormat="1" ht="15">
      <c r="B36" s="287">
        <f t="shared" si="2"/>
        <v>13</v>
      </c>
      <c r="C36" s="288" t="str">
        <f>Data1!C36</f>
        <v>KATRIN ALMEISA</v>
      </c>
      <c r="D36" s="289">
        <f>Data1!D36</f>
        <v>0</v>
      </c>
      <c r="E36" s="289">
        <f>Data1!E36</f>
        <v>0</v>
      </c>
      <c r="F36" s="289">
        <f>Data1!F36</f>
        <v>0</v>
      </c>
      <c r="G36" s="289">
        <f>Data1!G36</f>
        <v>0</v>
      </c>
      <c r="H36" s="289">
        <f>Data1!H36</f>
        <v>0</v>
      </c>
      <c r="I36" s="289">
        <f>Data1!I36</f>
        <v>0</v>
      </c>
      <c r="J36" s="289">
        <f>Data1!J36</f>
        <v>5</v>
      </c>
      <c r="K36" s="289">
        <f>Data1!K36</f>
        <v>0</v>
      </c>
      <c r="L36" s="289">
        <f>Data1!L36</f>
        <v>0</v>
      </c>
      <c r="M36" s="289">
        <f>Data1!M36</f>
        <v>0</v>
      </c>
      <c r="N36" s="285">
        <f t="shared" si="3"/>
        <v>5</v>
      </c>
      <c r="O36" s="192">
        <f t="shared" si="1"/>
        <v>12.5</v>
      </c>
    </row>
    <row r="37" spans="2:15" s="11" customFormat="1" ht="15">
      <c r="B37" s="287">
        <f t="shared" si="2"/>
        <v>14</v>
      </c>
      <c r="C37" s="288" t="str">
        <f>Data1!C37</f>
        <v>KHAVIFA DEWI AYU AMALIAH ACHMAD</v>
      </c>
      <c r="D37" s="289">
        <f>Data1!D37</f>
        <v>0</v>
      </c>
      <c r="E37" s="289">
        <f>Data1!E37</f>
        <v>0</v>
      </c>
      <c r="F37" s="289">
        <f>Data1!F37</f>
        <v>0</v>
      </c>
      <c r="G37" s="289">
        <f>Data1!G37</f>
        <v>0</v>
      </c>
      <c r="H37" s="289">
        <f>Data1!H37</f>
        <v>5</v>
      </c>
      <c r="I37" s="289">
        <f>Data1!I37</f>
        <v>0</v>
      </c>
      <c r="J37" s="289">
        <f>Data1!J37</f>
        <v>5</v>
      </c>
      <c r="K37" s="289">
        <f>Data1!K37</f>
        <v>0</v>
      </c>
      <c r="L37" s="289">
        <f>Data1!L37</f>
        <v>0</v>
      </c>
      <c r="M37" s="289">
        <f>Data1!M37</f>
        <v>0</v>
      </c>
      <c r="N37" s="285">
        <f t="shared" si="3"/>
        <v>10</v>
      </c>
      <c r="O37" s="192">
        <f t="shared" si="1"/>
        <v>25</v>
      </c>
    </row>
    <row r="38" spans="2:15" s="11" customFormat="1" ht="15">
      <c r="B38" s="287">
        <f t="shared" si="2"/>
        <v>15</v>
      </c>
      <c r="C38" s="288" t="str">
        <f>Data1!C38</f>
        <v>LA ODE MUHAMMAD AFANDI</v>
      </c>
      <c r="D38" s="289">
        <f>Data1!D38</f>
        <v>0</v>
      </c>
      <c r="E38" s="289">
        <f>Data1!E38</f>
        <v>0</v>
      </c>
      <c r="F38" s="289">
        <f>Data1!F38</f>
        <v>0</v>
      </c>
      <c r="G38" s="289">
        <f>Data1!G38</f>
        <v>0</v>
      </c>
      <c r="H38" s="289">
        <f>Data1!H38</f>
        <v>0</v>
      </c>
      <c r="I38" s="289">
        <f>Data1!I38</f>
        <v>0</v>
      </c>
      <c r="J38" s="289">
        <f>Data1!J38</f>
        <v>0</v>
      </c>
      <c r="K38" s="289">
        <f>Data1!K38</f>
        <v>0</v>
      </c>
      <c r="L38" s="289">
        <f>Data1!L38</f>
        <v>0</v>
      </c>
      <c r="M38" s="289">
        <f>Data1!M38</f>
        <v>0</v>
      </c>
      <c r="N38" s="285" t="str">
        <f t="shared" si="3"/>
        <v/>
      </c>
      <c r="O38" s="192" t="str">
        <f t="shared" si="1"/>
        <v/>
      </c>
    </row>
    <row r="39" spans="2:15" s="11" customFormat="1" ht="15">
      <c r="B39" s="287">
        <f t="shared" si="2"/>
        <v>16</v>
      </c>
      <c r="C39" s="288" t="str">
        <f>Data1!C39</f>
        <v>MASYRUQ AL JAZZULI</v>
      </c>
      <c r="D39" s="289">
        <f>Data1!D39</f>
        <v>0</v>
      </c>
      <c r="E39" s="289">
        <f>Data1!E39</f>
        <v>0</v>
      </c>
      <c r="F39" s="289">
        <f>Data1!F39</f>
        <v>0</v>
      </c>
      <c r="G39" s="289">
        <f>Data1!G39</f>
        <v>0</v>
      </c>
      <c r="H39" s="289">
        <f>Data1!H39</f>
        <v>5</v>
      </c>
      <c r="I39" s="289">
        <f>Data1!I39</f>
        <v>5</v>
      </c>
      <c r="J39" s="289">
        <f>Data1!J39</f>
        <v>5</v>
      </c>
      <c r="K39" s="289">
        <f>Data1!K39</f>
        <v>0</v>
      </c>
      <c r="L39" s="289">
        <f>Data1!L39</f>
        <v>0</v>
      </c>
      <c r="M39" s="289">
        <f>Data1!M39</f>
        <v>0</v>
      </c>
      <c r="N39" s="285">
        <f t="shared" si="3"/>
        <v>15</v>
      </c>
      <c r="O39" s="192">
        <f t="shared" si="1"/>
        <v>37.5</v>
      </c>
    </row>
    <row r="40" spans="2:15" s="11" customFormat="1" ht="15">
      <c r="B40" s="287">
        <f t="shared" si="2"/>
        <v>17</v>
      </c>
      <c r="C40" s="288" t="str">
        <f>Data1!C40</f>
        <v>MAULIDATUL KHOIUN NI'MAH</v>
      </c>
      <c r="D40" s="289">
        <f>Data1!D40</f>
        <v>5</v>
      </c>
      <c r="E40" s="289">
        <f>Data1!E40</f>
        <v>0</v>
      </c>
      <c r="F40" s="289">
        <f>Data1!F40</f>
        <v>5</v>
      </c>
      <c r="G40" s="289">
        <f>Data1!G40</f>
        <v>0</v>
      </c>
      <c r="H40" s="289">
        <f>Data1!H40</f>
        <v>5</v>
      </c>
      <c r="I40" s="289">
        <f>Data1!I40</f>
        <v>0</v>
      </c>
      <c r="J40" s="289">
        <f>Data1!J40</f>
        <v>0</v>
      </c>
      <c r="K40" s="289">
        <f>Data1!K40</f>
        <v>0</v>
      </c>
      <c r="L40" s="289">
        <f>Data1!L40</f>
        <v>0</v>
      </c>
      <c r="M40" s="289">
        <f>Data1!M40</f>
        <v>0</v>
      </c>
      <c r="N40" s="285">
        <f t="shared" si="3"/>
        <v>15</v>
      </c>
      <c r="O40" s="192">
        <f t="shared" si="1"/>
        <v>37.5</v>
      </c>
    </row>
    <row r="41" spans="2:15" s="11" customFormat="1" ht="15">
      <c r="B41" s="287">
        <f t="shared" si="2"/>
        <v>18</v>
      </c>
      <c r="C41" s="288" t="str">
        <f>Data1!C41</f>
        <v>MUH. FAJRY MUHARRAM</v>
      </c>
      <c r="D41" s="289">
        <f>Data1!D41</f>
        <v>5</v>
      </c>
      <c r="E41" s="289">
        <f>Data1!E41</f>
        <v>0</v>
      </c>
      <c r="F41" s="289">
        <f>Data1!F41</f>
        <v>0</v>
      </c>
      <c r="G41" s="289">
        <f>Data1!G41</f>
        <v>0</v>
      </c>
      <c r="H41" s="289">
        <f>Data1!H41</f>
        <v>0</v>
      </c>
      <c r="I41" s="289">
        <f>Data1!I41</f>
        <v>0</v>
      </c>
      <c r="J41" s="289">
        <f>Data1!J41</f>
        <v>5</v>
      </c>
      <c r="K41" s="289">
        <f>Data1!K41</f>
        <v>0</v>
      </c>
      <c r="L41" s="289">
        <f>Data1!L41</f>
        <v>0</v>
      </c>
      <c r="M41" s="289">
        <f>Data1!M41</f>
        <v>0</v>
      </c>
      <c r="N41" s="285">
        <f t="shared" si="3"/>
        <v>10</v>
      </c>
      <c r="O41" s="192">
        <f t="shared" si="1"/>
        <v>25</v>
      </c>
    </row>
    <row r="42" spans="2:15" s="11" customFormat="1" ht="15">
      <c r="B42" s="287">
        <f t="shared" si="2"/>
        <v>19</v>
      </c>
      <c r="C42" s="288" t="str">
        <f>Data1!C42</f>
        <v>MUHAMMAD ALFIAN BAKTI S.</v>
      </c>
      <c r="D42" s="289">
        <f>Data1!D42</f>
        <v>5</v>
      </c>
      <c r="E42" s="289">
        <f>Data1!E42</f>
        <v>5</v>
      </c>
      <c r="F42" s="289">
        <f>Data1!F42</f>
        <v>5</v>
      </c>
      <c r="G42" s="289">
        <f>Data1!G42</f>
        <v>5</v>
      </c>
      <c r="H42" s="289">
        <f>Data1!H42</f>
        <v>5</v>
      </c>
      <c r="I42" s="289">
        <f>Data1!I42</f>
        <v>5</v>
      </c>
      <c r="J42" s="289">
        <f>Data1!J42</f>
        <v>5</v>
      </c>
      <c r="K42" s="289">
        <f>Data1!K42</f>
        <v>0</v>
      </c>
      <c r="L42" s="289">
        <f>Data1!L42</f>
        <v>0</v>
      </c>
      <c r="M42" s="289">
        <f>Data1!M42</f>
        <v>0</v>
      </c>
      <c r="N42" s="285">
        <f t="shared" si="3"/>
        <v>35</v>
      </c>
      <c r="O42" s="192">
        <f t="shared" si="1"/>
        <v>87.5</v>
      </c>
    </row>
    <row r="43" spans="2:15" s="11" customFormat="1" ht="15">
      <c r="B43" s="287">
        <f t="shared" si="2"/>
        <v>20</v>
      </c>
      <c r="C43" s="288" t="str">
        <f>Data1!C43</f>
        <v>MUHAMMAD ARIANSYAH</v>
      </c>
      <c r="D43" s="289">
        <f>Data1!D43</f>
        <v>5</v>
      </c>
      <c r="E43" s="289">
        <f>Data1!E43</f>
        <v>0</v>
      </c>
      <c r="F43" s="289">
        <f>Data1!F43</f>
        <v>5</v>
      </c>
      <c r="G43" s="289">
        <f>Data1!G43</f>
        <v>0</v>
      </c>
      <c r="H43" s="289">
        <f>Data1!H43</f>
        <v>0</v>
      </c>
      <c r="I43" s="289">
        <f>Data1!I43</f>
        <v>0</v>
      </c>
      <c r="J43" s="289">
        <f>Data1!J43</f>
        <v>0</v>
      </c>
      <c r="K43" s="289">
        <f>Data1!K43</f>
        <v>5</v>
      </c>
      <c r="L43" s="289">
        <f>Data1!L43</f>
        <v>0</v>
      </c>
      <c r="M43" s="289">
        <f>Data1!M43</f>
        <v>0</v>
      </c>
      <c r="N43" s="285">
        <f t="shared" si="3"/>
        <v>15</v>
      </c>
      <c r="O43" s="192">
        <f t="shared" si="1"/>
        <v>37.5</v>
      </c>
    </row>
    <row r="44" spans="2:15" s="11" customFormat="1" ht="15">
      <c r="B44" s="287">
        <f t="shared" si="2"/>
        <v>21</v>
      </c>
      <c r="C44" s="288" t="str">
        <f>Data1!C44</f>
        <v>MUHAMMAD HAFIZH H.A</v>
      </c>
      <c r="D44" s="289">
        <f>Data1!D44</f>
        <v>5</v>
      </c>
      <c r="E44" s="289">
        <f>Data1!E44</f>
        <v>5</v>
      </c>
      <c r="F44" s="289">
        <f>Data1!F44</f>
        <v>5</v>
      </c>
      <c r="G44" s="289">
        <f>Data1!G44</f>
        <v>5</v>
      </c>
      <c r="H44" s="289">
        <f>Data1!H44</f>
        <v>5</v>
      </c>
      <c r="I44" s="289">
        <f>Data1!I44</f>
        <v>5</v>
      </c>
      <c r="J44" s="289">
        <f>Data1!J44</f>
        <v>0</v>
      </c>
      <c r="K44" s="289">
        <f>Data1!K44</f>
        <v>5</v>
      </c>
      <c r="L44" s="289">
        <f>Data1!L44</f>
        <v>0</v>
      </c>
      <c r="M44" s="289">
        <f>Data1!M44</f>
        <v>0</v>
      </c>
      <c r="N44" s="285">
        <f t="shared" si="3"/>
        <v>35</v>
      </c>
      <c r="O44" s="192">
        <f t="shared" si="1"/>
        <v>87.5</v>
      </c>
    </row>
    <row r="45" spans="2:15" s="11" customFormat="1" ht="15">
      <c r="B45" s="287">
        <f t="shared" si="2"/>
        <v>22</v>
      </c>
      <c r="C45" s="288" t="str">
        <f>Data1!C45</f>
        <v>MUHAMMAD ILHAMSYAH</v>
      </c>
      <c r="D45" s="289">
        <f>Data1!D45</f>
        <v>5</v>
      </c>
      <c r="E45" s="289">
        <f>Data1!E45</f>
        <v>5</v>
      </c>
      <c r="F45" s="289">
        <f>Data1!F45</f>
        <v>5</v>
      </c>
      <c r="G45" s="289">
        <f>Data1!G45</f>
        <v>5</v>
      </c>
      <c r="H45" s="289">
        <f>Data1!H45</f>
        <v>5</v>
      </c>
      <c r="I45" s="289">
        <f>Data1!I45</f>
        <v>5</v>
      </c>
      <c r="J45" s="289">
        <f>Data1!J45</f>
        <v>0</v>
      </c>
      <c r="K45" s="289">
        <f>Data1!K45</f>
        <v>0</v>
      </c>
      <c r="L45" s="289">
        <f>Data1!L45</f>
        <v>0</v>
      </c>
      <c r="M45" s="289">
        <f>Data1!M45</f>
        <v>0</v>
      </c>
      <c r="N45" s="285">
        <f t="shared" si="3"/>
        <v>30</v>
      </c>
      <c r="O45" s="192">
        <f t="shared" si="1"/>
        <v>75</v>
      </c>
    </row>
    <row r="46" spans="2:15" s="11" customFormat="1" ht="15">
      <c r="B46" s="287">
        <f t="shared" si="2"/>
        <v>23</v>
      </c>
      <c r="C46" s="288" t="str">
        <f>Data1!C46</f>
        <v>MUHAMMAD REZA FAHLEVI</v>
      </c>
      <c r="D46" s="289">
        <f>Data1!D46</f>
        <v>5</v>
      </c>
      <c r="E46" s="289">
        <f>Data1!E46</f>
        <v>5</v>
      </c>
      <c r="F46" s="289">
        <f>Data1!F46</f>
        <v>5</v>
      </c>
      <c r="G46" s="289">
        <f>Data1!G46</f>
        <v>5</v>
      </c>
      <c r="H46" s="289">
        <f>Data1!H46</f>
        <v>5</v>
      </c>
      <c r="I46" s="289">
        <f>Data1!I46</f>
        <v>5</v>
      </c>
      <c r="J46" s="289">
        <f>Data1!J46</f>
        <v>0</v>
      </c>
      <c r="K46" s="289">
        <f>Data1!K46</f>
        <v>5</v>
      </c>
      <c r="L46" s="289">
        <f>Data1!L46</f>
        <v>0</v>
      </c>
      <c r="M46" s="289">
        <f>Data1!M46</f>
        <v>0</v>
      </c>
      <c r="N46" s="285">
        <f t="shared" si="3"/>
        <v>35</v>
      </c>
      <c r="O46" s="192">
        <f t="shared" si="1"/>
        <v>87.5</v>
      </c>
    </row>
    <row r="47" spans="2:15" s="11" customFormat="1" ht="15">
      <c r="B47" s="287">
        <f t="shared" si="2"/>
        <v>24</v>
      </c>
      <c r="C47" s="288" t="str">
        <f>Data1!C47</f>
        <v>MUHAMMAD SYAHRIL RAMADHAN</v>
      </c>
      <c r="D47" s="289">
        <f>Data1!D47</f>
        <v>5</v>
      </c>
      <c r="E47" s="289">
        <f>Data1!E47</f>
        <v>0</v>
      </c>
      <c r="F47" s="289">
        <f>Data1!F47</f>
        <v>5</v>
      </c>
      <c r="G47" s="289">
        <f>Data1!G47</f>
        <v>0</v>
      </c>
      <c r="H47" s="289">
        <f>Data1!H47</f>
        <v>0</v>
      </c>
      <c r="I47" s="289">
        <f>Data1!I47</f>
        <v>0</v>
      </c>
      <c r="J47" s="289">
        <f>Data1!J47</f>
        <v>0</v>
      </c>
      <c r="K47" s="289">
        <f>Data1!K47</f>
        <v>0</v>
      </c>
      <c r="L47" s="289">
        <f>Data1!L47</f>
        <v>0</v>
      </c>
      <c r="M47" s="289">
        <f>Data1!M47</f>
        <v>0</v>
      </c>
      <c r="N47" s="285">
        <f t="shared" si="3"/>
        <v>10</v>
      </c>
      <c r="O47" s="192">
        <f t="shared" si="1"/>
        <v>25</v>
      </c>
    </row>
    <row r="48" spans="2:15" s="11" customFormat="1" ht="15">
      <c r="B48" s="287">
        <f t="shared" si="2"/>
        <v>25</v>
      </c>
      <c r="C48" s="288" t="str">
        <f>Data1!C48</f>
        <v>MUHAMMAD SYAHRUL RAMADHAN</v>
      </c>
      <c r="D48" s="289">
        <f>Data1!D48</f>
        <v>0</v>
      </c>
      <c r="E48" s="289">
        <f>Data1!E48</f>
        <v>0</v>
      </c>
      <c r="F48" s="289">
        <f>Data1!F48</f>
        <v>0</v>
      </c>
      <c r="G48" s="289">
        <f>Data1!G48</f>
        <v>0</v>
      </c>
      <c r="H48" s="289">
        <f>Data1!H48</f>
        <v>0</v>
      </c>
      <c r="I48" s="289">
        <f>Data1!I48</f>
        <v>0</v>
      </c>
      <c r="J48" s="289">
        <f>Data1!J48</f>
        <v>0</v>
      </c>
      <c r="K48" s="289">
        <f>Data1!K48</f>
        <v>0</v>
      </c>
      <c r="L48" s="289">
        <f>Data1!L48</f>
        <v>0</v>
      </c>
      <c r="M48" s="289">
        <f>Data1!M48</f>
        <v>0</v>
      </c>
      <c r="N48" s="285" t="str">
        <f t="shared" si="3"/>
        <v/>
      </c>
      <c r="O48" s="192" t="str">
        <f t="shared" si="1"/>
        <v/>
      </c>
    </row>
    <row r="49" spans="2:15" s="11" customFormat="1" ht="15">
      <c r="B49" s="287">
        <f t="shared" si="2"/>
        <v>26</v>
      </c>
      <c r="C49" s="288" t="str">
        <f>Data1!C49</f>
        <v>NUR HAZIRAH</v>
      </c>
      <c r="D49" s="289">
        <f>Data1!D49</f>
        <v>0</v>
      </c>
      <c r="E49" s="289">
        <f>Data1!E49</f>
        <v>0</v>
      </c>
      <c r="F49" s="289">
        <f>Data1!F49</f>
        <v>0</v>
      </c>
      <c r="G49" s="289">
        <f>Data1!G49</f>
        <v>0</v>
      </c>
      <c r="H49" s="289">
        <f>Data1!H49</f>
        <v>0</v>
      </c>
      <c r="I49" s="289">
        <f>Data1!I49</f>
        <v>0</v>
      </c>
      <c r="J49" s="289">
        <f>Data1!J49</f>
        <v>0</v>
      </c>
      <c r="K49" s="289">
        <f>Data1!K49</f>
        <v>0</v>
      </c>
      <c r="L49" s="289">
        <f>Data1!L49</f>
        <v>0</v>
      </c>
      <c r="M49" s="289">
        <f>Data1!M49</f>
        <v>0</v>
      </c>
      <c r="N49" s="285" t="str">
        <f t="shared" si="3"/>
        <v/>
      </c>
      <c r="O49" s="192" t="str">
        <f t="shared" si="1"/>
        <v/>
      </c>
    </row>
    <row r="50" spans="2:15" s="11" customFormat="1" ht="15">
      <c r="B50" s="287">
        <f t="shared" si="2"/>
        <v>27</v>
      </c>
      <c r="C50" s="288" t="str">
        <f>Data1!C50</f>
        <v>NURFADILAH</v>
      </c>
      <c r="D50" s="289">
        <f>Data1!D50</f>
        <v>5</v>
      </c>
      <c r="E50" s="289">
        <f>Data1!E50</f>
        <v>0</v>
      </c>
      <c r="F50" s="289">
        <f>Data1!F50</f>
        <v>5</v>
      </c>
      <c r="G50" s="289">
        <f>Data1!G50</f>
        <v>0</v>
      </c>
      <c r="H50" s="289">
        <f>Data1!H50</f>
        <v>0</v>
      </c>
      <c r="I50" s="289">
        <f>Data1!I50</f>
        <v>0</v>
      </c>
      <c r="J50" s="289">
        <f>Data1!J50</f>
        <v>0</v>
      </c>
      <c r="K50" s="289">
        <f>Data1!K50</f>
        <v>0</v>
      </c>
      <c r="L50" s="289">
        <f>Data1!L50</f>
        <v>0</v>
      </c>
      <c r="M50" s="289">
        <f>Data1!M50</f>
        <v>0</v>
      </c>
      <c r="N50" s="285">
        <f t="shared" si="3"/>
        <v>10</v>
      </c>
      <c r="O50" s="192">
        <f t="shared" si="1"/>
        <v>25</v>
      </c>
    </row>
    <row r="51" spans="2:15" s="11" customFormat="1" ht="15">
      <c r="B51" s="287">
        <f t="shared" si="2"/>
        <v>28</v>
      </c>
      <c r="C51" s="288" t="str">
        <f>Data1!C51</f>
        <v>RATI YANI</v>
      </c>
      <c r="D51" s="289">
        <f>Data1!D51</f>
        <v>0</v>
      </c>
      <c r="E51" s="289">
        <f>Data1!E51</f>
        <v>0</v>
      </c>
      <c r="F51" s="289">
        <f>Data1!F51</f>
        <v>0</v>
      </c>
      <c r="G51" s="289">
        <f>Data1!G51</f>
        <v>0</v>
      </c>
      <c r="H51" s="289">
        <f>Data1!H51</f>
        <v>0</v>
      </c>
      <c r="I51" s="289">
        <f>Data1!I51</f>
        <v>0</v>
      </c>
      <c r="J51" s="289">
        <f>Data1!J51</f>
        <v>0</v>
      </c>
      <c r="K51" s="289">
        <f>Data1!K51</f>
        <v>0</v>
      </c>
      <c r="L51" s="289">
        <f>Data1!L51</f>
        <v>0</v>
      </c>
      <c r="M51" s="289">
        <f>Data1!M51</f>
        <v>0</v>
      </c>
      <c r="N51" s="285" t="str">
        <f t="shared" si="3"/>
        <v/>
      </c>
      <c r="O51" s="192" t="str">
        <f t="shared" si="1"/>
        <v/>
      </c>
    </row>
    <row r="52" spans="2:15" s="11" customFormat="1" ht="15">
      <c r="B52" s="287">
        <f t="shared" si="2"/>
        <v>29</v>
      </c>
      <c r="C52" s="288" t="str">
        <f>Data1!C52</f>
        <v>SIGIT ARI DJAYADI</v>
      </c>
      <c r="D52" s="289">
        <f>Data1!D52</f>
        <v>5</v>
      </c>
      <c r="E52" s="289">
        <f>Data1!E52</f>
        <v>0</v>
      </c>
      <c r="F52" s="289">
        <f>Data1!F52</f>
        <v>0</v>
      </c>
      <c r="G52" s="289">
        <f>Data1!G52</f>
        <v>0</v>
      </c>
      <c r="H52" s="289">
        <f>Data1!H52</f>
        <v>0</v>
      </c>
      <c r="I52" s="289">
        <f>Data1!I52</f>
        <v>0</v>
      </c>
      <c r="J52" s="289">
        <f>Data1!J52</f>
        <v>0</v>
      </c>
      <c r="K52" s="289">
        <f>Data1!K52</f>
        <v>0</v>
      </c>
      <c r="L52" s="289">
        <f>Data1!L52</f>
        <v>0</v>
      </c>
      <c r="M52" s="289">
        <f>Data1!M52</f>
        <v>0</v>
      </c>
      <c r="N52" s="285">
        <f t="shared" si="3"/>
        <v>5</v>
      </c>
      <c r="O52" s="192">
        <f t="shared" si="1"/>
        <v>12.5</v>
      </c>
    </row>
    <row r="53" spans="2:15" s="11" customFormat="1" ht="15">
      <c r="B53" s="287">
        <f t="shared" si="2"/>
        <v>30</v>
      </c>
      <c r="C53" s="288" t="str">
        <f>Data1!C53</f>
        <v>SUKMA JULIA RAUF</v>
      </c>
      <c r="D53" s="289">
        <f>Data1!D53</f>
        <v>5</v>
      </c>
      <c r="E53" s="289">
        <f>Data1!E53</f>
        <v>0</v>
      </c>
      <c r="F53" s="289">
        <f>Data1!F53</f>
        <v>5</v>
      </c>
      <c r="G53" s="289">
        <f>Data1!G53</f>
        <v>0</v>
      </c>
      <c r="H53" s="289">
        <f>Data1!H53</f>
        <v>0</v>
      </c>
      <c r="I53" s="289">
        <f>Data1!I53</f>
        <v>0</v>
      </c>
      <c r="J53" s="289">
        <f>Data1!J53</f>
        <v>0</v>
      </c>
      <c r="K53" s="289">
        <f>Data1!K53</f>
        <v>0</v>
      </c>
      <c r="L53" s="289">
        <f>Data1!L53</f>
        <v>0</v>
      </c>
      <c r="M53" s="289">
        <f>Data1!M53</f>
        <v>0</v>
      </c>
      <c r="N53" s="285">
        <f t="shared" si="3"/>
        <v>10</v>
      </c>
      <c r="O53" s="192">
        <f t="shared" si="1"/>
        <v>25</v>
      </c>
    </row>
    <row r="54" spans="2:15" s="11" customFormat="1" ht="15">
      <c r="B54" s="287">
        <f t="shared" si="2"/>
        <v>31</v>
      </c>
      <c r="C54" s="288" t="str">
        <f>Data1!C54</f>
        <v>SUPARDI</v>
      </c>
      <c r="D54" s="289">
        <f>Data1!D54</f>
        <v>5</v>
      </c>
      <c r="E54" s="289">
        <f>Data1!E54</f>
        <v>0</v>
      </c>
      <c r="F54" s="289">
        <f>Data1!F54</f>
        <v>5</v>
      </c>
      <c r="G54" s="289">
        <f>Data1!G54</f>
        <v>5</v>
      </c>
      <c r="H54" s="289">
        <f>Data1!H54</f>
        <v>5</v>
      </c>
      <c r="I54" s="289">
        <f>Data1!I54</f>
        <v>0</v>
      </c>
      <c r="J54" s="289">
        <f>Data1!J54</f>
        <v>5</v>
      </c>
      <c r="K54" s="289">
        <f>Data1!K54</f>
        <v>0</v>
      </c>
      <c r="L54" s="289">
        <f>Data1!L54</f>
        <v>0</v>
      </c>
      <c r="M54" s="289">
        <f>Data1!M54</f>
        <v>0</v>
      </c>
      <c r="N54" s="285">
        <f t="shared" si="3"/>
        <v>25</v>
      </c>
      <c r="O54" s="192">
        <f t="shared" si="1"/>
        <v>62.5</v>
      </c>
    </row>
    <row r="55" spans="2:15" s="11" customFormat="1" ht="15">
      <c r="B55" s="287">
        <f t="shared" si="2"/>
        <v>32</v>
      </c>
      <c r="C55" s="288" t="str">
        <f>Data1!C55</f>
        <v>TINA ERLIAN</v>
      </c>
      <c r="D55" s="289">
        <f>Data1!D55</f>
        <v>5</v>
      </c>
      <c r="E55" s="289">
        <f>Data1!E55</f>
        <v>0</v>
      </c>
      <c r="F55" s="289">
        <f>Data1!F55</f>
        <v>0</v>
      </c>
      <c r="G55" s="289">
        <f>Data1!G55</f>
        <v>5</v>
      </c>
      <c r="H55" s="289">
        <f>Data1!H55</f>
        <v>5</v>
      </c>
      <c r="I55" s="289">
        <f>Data1!I55</f>
        <v>0</v>
      </c>
      <c r="J55" s="289">
        <f>Data1!J55</f>
        <v>0</v>
      </c>
      <c r="K55" s="289">
        <f>Data1!K55</f>
        <v>0</v>
      </c>
      <c r="L55" s="289">
        <f>Data1!L55</f>
        <v>0</v>
      </c>
      <c r="M55" s="289">
        <f>Data1!M55</f>
        <v>0</v>
      </c>
      <c r="N55" s="285">
        <f t="shared" si="3"/>
        <v>15</v>
      </c>
      <c r="O55" s="192">
        <f t="shared" si="1"/>
        <v>37.5</v>
      </c>
    </row>
    <row r="56" spans="2:15" s="11" customFormat="1" ht="15">
      <c r="B56" s="287">
        <f t="shared" si="2"/>
        <v>33</v>
      </c>
      <c r="C56" s="288" t="str">
        <f>Data1!C56</f>
        <v>WHIRANATHA</v>
      </c>
      <c r="D56" s="289">
        <f>Data1!D56</f>
        <v>5</v>
      </c>
      <c r="E56" s="289">
        <f>Data1!E56</f>
        <v>0</v>
      </c>
      <c r="F56" s="289">
        <f>Data1!F56</f>
        <v>0</v>
      </c>
      <c r="G56" s="289">
        <f>Data1!G56</f>
        <v>0</v>
      </c>
      <c r="H56" s="289">
        <f>Data1!H56</f>
        <v>5</v>
      </c>
      <c r="I56" s="289">
        <f>Data1!I56</f>
        <v>0</v>
      </c>
      <c r="J56" s="289">
        <f>Data1!J56</f>
        <v>5</v>
      </c>
      <c r="K56" s="289">
        <f>Data1!K56</f>
        <v>0</v>
      </c>
      <c r="L56" s="289">
        <f>Data1!L56</f>
        <v>0</v>
      </c>
      <c r="M56" s="289">
        <f>Data1!M56</f>
        <v>0</v>
      </c>
      <c r="N56" s="285">
        <f t="shared" si="3"/>
        <v>15</v>
      </c>
      <c r="O56" s="192">
        <f t="shared" si="1"/>
        <v>37.5</v>
      </c>
    </row>
    <row r="57" spans="2:15" s="11" customFormat="1" ht="15">
      <c r="B57" s="287">
        <f t="shared" si="2"/>
        <v>34</v>
      </c>
      <c r="C57" s="288" t="str">
        <f>Data1!C57</f>
        <v>WINDA BIRING ALLO</v>
      </c>
      <c r="D57" s="289">
        <f>Data1!D57</f>
        <v>5</v>
      </c>
      <c r="E57" s="289">
        <f>Data1!E57</f>
        <v>0</v>
      </c>
      <c r="F57" s="289">
        <f>Data1!F57</f>
        <v>0</v>
      </c>
      <c r="G57" s="289">
        <f>Data1!G57</f>
        <v>0</v>
      </c>
      <c r="H57" s="289">
        <f>Data1!H57</f>
        <v>0</v>
      </c>
      <c r="I57" s="289">
        <f>Data1!I57</f>
        <v>0</v>
      </c>
      <c r="J57" s="289">
        <f>Data1!J57</f>
        <v>0</v>
      </c>
      <c r="K57" s="289">
        <f>Data1!K57</f>
        <v>0</v>
      </c>
      <c r="L57" s="289">
        <f>Data1!L57</f>
        <v>0</v>
      </c>
      <c r="M57" s="289">
        <f>Data1!M57</f>
        <v>0</v>
      </c>
      <c r="N57" s="285">
        <f t="shared" si="3"/>
        <v>5</v>
      </c>
      <c r="O57" s="192">
        <f t="shared" si="1"/>
        <v>12.5</v>
      </c>
    </row>
    <row r="58" spans="2:15" s="11" customFormat="1" ht="15">
      <c r="B58" s="287">
        <f t="shared" si="2"/>
        <v>35</v>
      </c>
      <c r="C58" s="288" t="str">
        <f>Data1!C58</f>
        <v>YUSUF SALAM</v>
      </c>
      <c r="D58" s="289">
        <f>Data1!D58</f>
        <v>5</v>
      </c>
      <c r="E58" s="289">
        <f>Data1!E58</f>
        <v>0</v>
      </c>
      <c r="F58" s="289">
        <f>Data1!F58</f>
        <v>5</v>
      </c>
      <c r="G58" s="289">
        <f>Data1!G58</f>
        <v>0</v>
      </c>
      <c r="H58" s="289">
        <f>Data1!H58</f>
        <v>0</v>
      </c>
      <c r="I58" s="289">
        <f>Data1!I58</f>
        <v>0</v>
      </c>
      <c r="J58" s="289">
        <f>Data1!J58</f>
        <v>0</v>
      </c>
      <c r="K58" s="289">
        <f>Data1!K58</f>
        <v>0</v>
      </c>
      <c r="L58" s="289">
        <f>Data1!L58</f>
        <v>0</v>
      </c>
      <c r="M58" s="289">
        <f>Data1!M58</f>
        <v>0</v>
      </c>
      <c r="N58" s="285">
        <f t="shared" si="3"/>
        <v>10</v>
      </c>
      <c r="O58" s="192">
        <f t="shared" si="1"/>
        <v>25</v>
      </c>
    </row>
    <row r="59" spans="2:15" s="11" customFormat="1" ht="15">
      <c r="B59" s="287">
        <f t="shared" si="2"/>
        <v>36</v>
      </c>
      <c r="C59" s="288">
        <f>Data1!C59</f>
        <v>0</v>
      </c>
      <c r="D59" s="289">
        <f>Data1!D59</f>
        <v>0</v>
      </c>
      <c r="E59" s="289">
        <f>Data1!E59</f>
        <v>0</v>
      </c>
      <c r="F59" s="289">
        <f>Data1!F59</f>
        <v>0</v>
      </c>
      <c r="G59" s="289">
        <f>Data1!G59</f>
        <v>0</v>
      </c>
      <c r="H59" s="289">
        <f>Data1!H59</f>
        <v>0</v>
      </c>
      <c r="I59" s="289">
        <f>Data1!I59</f>
        <v>0</v>
      </c>
      <c r="J59" s="289">
        <f>Data1!J59</f>
        <v>0</v>
      </c>
      <c r="K59" s="289">
        <f>Data1!K59</f>
        <v>0</v>
      </c>
      <c r="L59" s="289">
        <f>Data1!L59</f>
        <v>0</v>
      </c>
      <c r="M59" s="289">
        <f>Data1!M59</f>
        <v>0</v>
      </c>
      <c r="N59" s="285" t="str">
        <f t="shared" si="3"/>
        <v/>
      </c>
      <c r="O59" s="192" t="str">
        <f t="shared" si="1"/>
        <v/>
      </c>
    </row>
    <row r="60" spans="2:15" s="11" customFormat="1" ht="15">
      <c r="B60" s="287"/>
      <c r="C60" s="287"/>
      <c r="D60" s="287"/>
      <c r="E60" s="287"/>
      <c r="F60" s="287"/>
      <c r="G60" s="287"/>
      <c r="H60" s="287"/>
      <c r="I60" s="287"/>
      <c r="J60" s="287"/>
      <c r="K60" s="287"/>
      <c r="L60" s="287"/>
      <c r="M60" s="287"/>
      <c r="N60" s="286"/>
      <c r="O60" s="271"/>
    </row>
    <row r="61" spans="2:15" s="11" customFormat="1" ht="15">
      <c r="B61" s="310" t="s">
        <v>234</v>
      </c>
      <c r="C61" s="310"/>
      <c r="D61" s="282">
        <f>SUM(D24:D59)</f>
        <v>120</v>
      </c>
      <c r="E61" s="282">
        <f t="shared" ref="E61:M61" si="4">SUM(E24:E59)</f>
        <v>45</v>
      </c>
      <c r="F61" s="282">
        <f t="shared" si="4"/>
        <v>70</v>
      </c>
      <c r="G61" s="282">
        <f t="shared" si="4"/>
        <v>45</v>
      </c>
      <c r="H61" s="282">
        <f t="shared" si="4"/>
        <v>75</v>
      </c>
      <c r="I61" s="282">
        <f t="shared" si="4"/>
        <v>40</v>
      </c>
      <c r="J61" s="282">
        <f t="shared" si="4"/>
        <v>75</v>
      </c>
      <c r="K61" s="282">
        <f t="shared" si="4"/>
        <v>30</v>
      </c>
      <c r="L61" s="282">
        <f t="shared" si="4"/>
        <v>0</v>
      </c>
      <c r="M61" s="282">
        <f t="shared" si="4"/>
        <v>0</v>
      </c>
      <c r="N61" s="286"/>
      <c r="O61" s="271"/>
    </row>
    <row r="62" spans="2:15" s="11" customFormat="1" ht="15">
      <c r="B62" s="310" t="s">
        <v>235</v>
      </c>
      <c r="C62" s="310"/>
      <c r="D62" s="272">
        <f>D19*D66</f>
        <v>145</v>
      </c>
      <c r="E62" s="272">
        <f>E19*D66</f>
        <v>145</v>
      </c>
      <c r="F62" s="272">
        <f>F19*D66</f>
        <v>145</v>
      </c>
      <c r="G62" s="272">
        <f>G19*D66</f>
        <v>145</v>
      </c>
      <c r="H62" s="272">
        <f>H19*D66</f>
        <v>145</v>
      </c>
      <c r="I62" s="272">
        <f>I19*D66</f>
        <v>145</v>
      </c>
      <c r="J62" s="272">
        <f>J19*D66</f>
        <v>145</v>
      </c>
      <c r="K62" s="272">
        <f>K19*D66</f>
        <v>145</v>
      </c>
      <c r="L62" s="272">
        <f>L19*D66</f>
        <v>0</v>
      </c>
      <c r="M62" s="272">
        <f>M19*D66</f>
        <v>0</v>
      </c>
      <c r="N62" s="285"/>
      <c r="O62" s="192"/>
    </row>
    <row r="63" spans="2:15" s="11" customFormat="1" ht="15">
      <c r="B63" s="310" t="s">
        <v>236</v>
      </c>
      <c r="C63" s="310"/>
      <c r="D63" s="273">
        <f>(D61/D62)*100</f>
        <v>82.758620689655174</v>
      </c>
      <c r="E63" s="273">
        <f t="shared" ref="E63:M63" si="5">(E61/E62)*100</f>
        <v>31.03448275862069</v>
      </c>
      <c r="F63" s="273">
        <f t="shared" si="5"/>
        <v>48.275862068965516</v>
      </c>
      <c r="G63" s="273">
        <f t="shared" si="5"/>
        <v>31.03448275862069</v>
      </c>
      <c r="H63" s="273">
        <f t="shared" si="5"/>
        <v>51.724137931034484</v>
      </c>
      <c r="I63" s="273">
        <f t="shared" si="5"/>
        <v>27.586206896551722</v>
      </c>
      <c r="J63" s="273">
        <f t="shared" si="5"/>
        <v>51.724137931034484</v>
      </c>
      <c r="K63" s="273">
        <f t="shared" si="5"/>
        <v>20.689655172413794</v>
      </c>
      <c r="L63" s="273" t="e">
        <f t="shared" si="5"/>
        <v>#DIV/0!</v>
      </c>
      <c r="M63" s="273" t="e">
        <f t="shared" si="5"/>
        <v>#DIV/0!</v>
      </c>
      <c r="N63" s="285"/>
      <c r="O63" s="192"/>
    </row>
    <row r="64" spans="2:15" s="11" customFormat="1" ht="15">
      <c r="B64" s="310" t="s">
        <v>237</v>
      </c>
      <c r="C64" s="310"/>
      <c r="D64" s="273">
        <f>100-(D63)</f>
        <v>17.241379310344826</v>
      </c>
      <c r="E64" s="273">
        <f t="shared" ref="E64:M64" si="6">100-(E63)</f>
        <v>68.965517241379303</v>
      </c>
      <c r="F64" s="273">
        <f t="shared" si="6"/>
        <v>51.724137931034484</v>
      </c>
      <c r="G64" s="273">
        <f t="shared" si="6"/>
        <v>68.965517241379303</v>
      </c>
      <c r="H64" s="273">
        <f t="shared" si="6"/>
        <v>48.275862068965516</v>
      </c>
      <c r="I64" s="273">
        <f t="shared" si="6"/>
        <v>72.413793103448285</v>
      </c>
      <c r="J64" s="273">
        <f t="shared" si="6"/>
        <v>48.275862068965516</v>
      </c>
      <c r="K64" s="273">
        <f t="shared" si="6"/>
        <v>79.310344827586206</v>
      </c>
      <c r="L64" s="273" t="e">
        <f t="shared" si="6"/>
        <v>#DIV/0!</v>
      </c>
      <c r="M64" s="273" t="e">
        <f t="shared" si="6"/>
        <v>#DIV/0!</v>
      </c>
      <c r="N64" s="285"/>
      <c r="O64" s="192" t="str">
        <f>IF(N64="","",(N64/$N$19)*$O$19)</f>
        <v/>
      </c>
    </row>
    <row r="65" spans="2:15" s="11" customFormat="1" ht="15">
      <c r="B65" s="310" t="s">
        <v>238</v>
      </c>
      <c r="C65" s="310"/>
      <c r="D65" s="272" t="str">
        <f>IF(D64&gt;=75,"KLS",IF(D64&lt;50,"IND","TS"))</f>
        <v>IND</v>
      </c>
      <c r="E65" s="272" t="str">
        <f t="shared" ref="E65:M65" si="7">IF(E64&gt;=75,"KLS",IF(E64&lt;50,"IND","TS"))</f>
        <v>TS</v>
      </c>
      <c r="F65" s="272" t="str">
        <f t="shared" si="7"/>
        <v>TS</v>
      </c>
      <c r="G65" s="272" t="str">
        <f t="shared" si="7"/>
        <v>TS</v>
      </c>
      <c r="H65" s="272" t="str">
        <f t="shared" si="7"/>
        <v>IND</v>
      </c>
      <c r="I65" s="272" t="str">
        <f t="shared" si="7"/>
        <v>TS</v>
      </c>
      <c r="J65" s="272" t="str">
        <f t="shared" si="7"/>
        <v>IND</v>
      </c>
      <c r="K65" s="272" t="str">
        <f t="shared" si="7"/>
        <v>KLS</v>
      </c>
      <c r="L65" s="272" t="e">
        <f t="shared" si="7"/>
        <v>#DIV/0!</v>
      </c>
      <c r="M65" s="272" t="e">
        <f t="shared" si="7"/>
        <v>#DIV/0!</v>
      </c>
      <c r="N65" s="285"/>
      <c r="O65" s="192"/>
    </row>
    <row r="66" spans="2:15" ht="15.75">
      <c r="B66" s="279"/>
      <c r="C66" s="210" t="s">
        <v>4</v>
      </c>
      <c r="D66" s="280" t="str">
        <f>COUNT(N24:N65)&amp;""</f>
        <v>29</v>
      </c>
      <c r="E66" s="306" t="s">
        <v>25</v>
      </c>
      <c r="F66" s="307"/>
      <c r="G66" s="307"/>
      <c r="H66" s="281"/>
      <c r="I66" s="281"/>
      <c r="J66" s="281"/>
      <c r="K66" s="281"/>
      <c r="L66" s="281"/>
      <c r="M66" s="281"/>
      <c r="N66" s="266"/>
      <c r="O66" s="269"/>
    </row>
    <row r="67" spans="2:15">
      <c r="B67" s="264"/>
      <c r="C67" s="264"/>
      <c r="D67" s="264"/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</row>
    <row r="68" spans="2:15">
      <c r="B68" s="264"/>
      <c r="C68" s="264"/>
      <c r="D68" s="264"/>
      <c r="E68" s="264"/>
      <c r="F68" s="264"/>
      <c r="G68" s="264"/>
      <c r="H68" s="264"/>
      <c r="I68" s="264"/>
      <c r="J68" s="205" t="s">
        <v>240</v>
      </c>
      <c r="K68" s="205"/>
      <c r="L68" s="421">
        <f>E10</f>
        <v>43368</v>
      </c>
      <c r="M68" s="421"/>
      <c r="N68" s="421"/>
      <c r="O68" s="421"/>
    </row>
    <row r="69" spans="2:15">
      <c r="B69" s="264"/>
      <c r="C69" s="151" t="s">
        <v>33</v>
      </c>
      <c r="D69" s="264"/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</row>
    <row r="70" spans="2:15">
      <c r="B70" s="264"/>
      <c r="C70" s="151" t="s">
        <v>34</v>
      </c>
      <c r="D70" s="264"/>
      <c r="E70" s="264"/>
      <c r="F70" s="264"/>
      <c r="G70" s="264"/>
      <c r="H70" s="264"/>
      <c r="I70" s="264"/>
      <c r="J70" s="296" t="s">
        <v>24</v>
      </c>
      <c r="K70" s="296"/>
      <c r="L70" s="296"/>
      <c r="M70" s="296"/>
      <c r="N70" s="296"/>
      <c r="O70" s="264"/>
    </row>
    <row r="71" spans="2:15">
      <c r="B71" s="264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</row>
    <row r="72" spans="2:15">
      <c r="B72" s="264"/>
      <c r="C72" s="264"/>
      <c r="D72" s="264"/>
      <c r="E72" s="264"/>
      <c r="F72" s="264"/>
      <c r="G72" s="264"/>
      <c r="H72" s="264"/>
      <c r="I72" s="264"/>
      <c r="J72" s="264"/>
      <c r="K72" s="264"/>
      <c r="L72" s="264"/>
      <c r="M72" s="264"/>
      <c r="N72" s="264"/>
      <c r="O72" s="264"/>
    </row>
    <row r="73" spans="2:15">
      <c r="B73" s="264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</row>
    <row r="74" spans="2:15">
      <c r="B74" s="264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</row>
    <row r="75" spans="2:15">
      <c r="B75" s="264"/>
      <c r="C75" s="204" t="str">
        <f>Data1!C75</f>
        <v xml:space="preserve"> I D H A M, S.Pd., M.Hum</v>
      </c>
      <c r="D75" s="205"/>
      <c r="E75" s="205"/>
      <c r="F75" s="264"/>
      <c r="G75" s="264"/>
      <c r="H75" s="264"/>
      <c r="I75" s="264"/>
      <c r="J75" s="300" t="str">
        <f>Data1!J75</f>
        <v>Abdul Samad, S.Pd., M.Pd</v>
      </c>
      <c r="K75" s="300"/>
      <c r="L75" s="300"/>
      <c r="M75" s="300"/>
      <c r="N75" s="300"/>
      <c r="O75" s="264"/>
    </row>
    <row r="76" spans="2:15">
      <c r="B76" s="264"/>
      <c r="C76" s="204" t="str">
        <f>Data1!C76</f>
        <v>NIP : 196510151990031021</v>
      </c>
      <c r="D76" s="264"/>
      <c r="E76" s="264"/>
      <c r="F76" s="264"/>
      <c r="G76" s="264"/>
      <c r="H76" s="264"/>
      <c r="I76" s="264"/>
      <c r="J76" s="300" t="str">
        <f>Data1!J76</f>
        <v>NIP 19720802 199702 1 001</v>
      </c>
      <c r="K76" s="300"/>
      <c r="L76" s="300"/>
      <c r="M76" s="300"/>
      <c r="N76" s="300"/>
      <c r="O76" s="264"/>
    </row>
  </sheetData>
  <mergeCells count="23">
    <mergeCell ref="B1:O1"/>
    <mergeCell ref="B2:O2"/>
    <mergeCell ref="B3:B14"/>
    <mergeCell ref="B16:O16"/>
    <mergeCell ref="B17:C18"/>
    <mergeCell ref="D17:M17"/>
    <mergeCell ref="B65:C65"/>
    <mergeCell ref="E66:G66"/>
    <mergeCell ref="N21:N22"/>
    <mergeCell ref="D23:M23"/>
    <mergeCell ref="B61:C61"/>
    <mergeCell ref="B62:C62"/>
    <mergeCell ref="B21:B23"/>
    <mergeCell ref="C21:C23"/>
    <mergeCell ref="D21:M21"/>
    <mergeCell ref="B63:C63"/>
    <mergeCell ref="B64:C64"/>
    <mergeCell ref="J70:N70"/>
    <mergeCell ref="J75:N75"/>
    <mergeCell ref="J76:N76"/>
    <mergeCell ref="E10:I10"/>
    <mergeCell ref="L68:O68"/>
    <mergeCell ref="O21:O22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Data1</vt:lpstr>
      <vt:lpstr>Data2</vt:lpstr>
      <vt:lpstr>Proses</vt:lpstr>
      <vt:lpstr>Report</vt:lpstr>
      <vt:lpstr>Sheet1</vt:lpstr>
      <vt:lpstr>Analisis</vt:lpstr>
      <vt:lpstr>Daftar Nilai Remedial</vt:lpstr>
      <vt:lpstr>Remedial dan Pengayaan</vt:lpstr>
      <vt:lpstr>Data1!Print_Area</vt:lpstr>
      <vt:lpstr>Report!Print_Area</vt:lpstr>
    </vt:vector>
  </TitlesOfParts>
  <Company>Sukabumi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zidni</cp:lastModifiedBy>
  <cp:lastPrinted>2011-04-04T10:28:21Z</cp:lastPrinted>
  <dcterms:created xsi:type="dcterms:W3CDTF">2005-10-19T15:26:17Z</dcterms:created>
  <dcterms:modified xsi:type="dcterms:W3CDTF">2019-09-15T09:40:23Z</dcterms:modified>
</cp:coreProperties>
</file>